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24226"/>
  <xr:revisionPtr revIDLastSave="0" documentId="13_ncr:1_{44371C90-0339-4CF6-B1DA-DF85047DABC1}" xr6:coauthVersionLast="47" xr6:coauthVersionMax="47" xr10:uidLastSave="{00000000-0000-0000-0000-000000000000}"/>
  <bookViews>
    <workbookView xWindow="-120" yWindow="-120" windowWidth="29040" windowHeight="15840" tabRatio="930" activeTab="1" xr2:uid="{00000000-000D-0000-FFFF-FFFF00000000}"/>
  </bookViews>
  <sheets>
    <sheet name="Planilha Resumo" sheetId="38" r:id="rId1"/>
    <sheet name="Planilha Orçamentária" sheetId="5" r:id="rId2"/>
    <sheet name="Curva ABC" sheetId="10" state="hidden" r:id="rId3"/>
    <sheet name="Cronograma" sheetId="23" r:id="rId4"/>
    <sheet name="MC_Geral" sheetId="15" state="hidden" r:id="rId5"/>
    <sheet name="MC_CAG-Anexo " sheetId="42" state="hidden" r:id="rId6"/>
    <sheet name="MC_3.Pav (ALA B)" sheetId="47" state="hidden" r:id="rId7"/>
    <sheet name="Composições - CCU" sheetId="33" r:id="rId8"/>
    <sheet name="Mapa Cotações" sheetId="34" state="hidden" r:id="rId9"/>
    <sheet name="BDI Padrão" sheetId="35" r:id="rId10"/>
    <sheet name="BDI Diferenciado" sheetId="36" r:id="rId11"/>
    <sheet name="Encargos Sociais" sheetId="40" r:id="rId12"/>
  </sheets>
  <definedNames>
    <definedName name="_xlnm._FilterDatabase" localSheetId="7" hidden="1">'Composições - CCU'!$A$19:$K$5626</definedName>
    <definedName name="_xlnm._FilterDatabase" localSheetId="2" hidden="1">'Curva ABC'!$A$17:$F$130</definedName>
    <definedName name="_xlnm._FilterDatabase" localSheetId="1" hidden="1">'Planilha Orçamentária'!$A$17:$L$734</definedName>
    <definedName name="_xlnm.Print_Area" localSheetId="10">'BDI Diferenciado'!$A$1:$G$36</definedName>
    <definedName name="_xlnm.Print_Area" localSheetId="9">'BDI Padrão'!$A$1:$G$39</definedName>
    <definedName name="_xlnm.Print_Area" localSheetId="7">'Composições - CCU'!$A$1:$G$5578</definedName>
    <definedName name="_xlnm.Print_Area" localSheetId="3">Cronograma!$A$1:$U$76</definedName>
    <definedName name="_xlnm.Print_Area" localSheetId="2">'Curva ABC'!$A$1:$H$613</definedName>
    <definedName name="_xlnm.Print_Area" localSheetId="11">'Encargos Sociais'!$A$1:$F$54</definedName>
    <definedName name="_xlnm.Print_Area" localSheetId="8">'Mapa Cotações'!$A$1:$N$202</definedName>
    <definedName name="_xlnm.Print_Area" localSheetId="6">'MC_3.Pav (ALA B)'!$A$2:$O$689</definedName>
    <definedName name="_xlnm.Print_Area" localSheetId="5">'MC_CAG-Anexo '!$A$1:$O$813</definedName>
    <definedName name="_xlnm.Print_Area" localSheetId="4">MC_Geral!$A$2:$O$236</definedName>
    <definedName name="_xlnm.Print_Area" localSheetId="1">'Planilha Orçamentária'!$A$1:$L$740</definedName>
    <definedName name="_xlnm.Print_Area" localSheetId="0">'Planilha Resumo'!$A$1:$G$126</definedName>
    <definedName name="_xlnm.Print_Titles" localSheetId="7">'Composições - CCU'!$6:$9</definedName>
    <definedName name="_xlnm.Print_Titles" localSheetId="3">Cronograma!$16:$19</definedName>
    <definedName name="_xlnm.Print_Titles" localSheetId="2">'Curva ABC'!$15:$17</definedName>
    <definedName name="_xlnm.Print_Titles" localSheetId="11">'Encargos Sociais'!$15:$15</definedName>
    <definedName name="_xlnm.Print_Titles" localSheetId="8">'Mapa Cotações'!$15:$16</definedName>
    <definedName name="_xlnm.Print_Titles" localSheetId="6">'MC_3.Pav (ALA B)'!$6:$8</definedName>
    <definedName name="_xlnm.Print_Titles" localSheetId="5">'MC_CAG-Anexo '!$6:$8</definedName>
    <definedName name="_xlnm.Print_Titles" localSheetId="4">MC_Geral!$6:$8</definedName>
    <definedName name="_xlnm.Print_Titles" localSheetId="1">'Planilha Orçamentária'!$15:$17</definedName>
    <definedName name="_xlnm.Print_Titles" localSheetId="0">'Planilha Resumo'!$15:$17</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23" l="1"/>
  <c r="D14" i="23"/>
  <c r="B14" i="23"/>
  <c r="G14" i="5"/>
  <c r="E14" i="5"/>
  <c r="C14" i="5"/>
  <c r="G4538" i="33" l="1"/>
  <c r="G4537" i="33"/>
  <c r="G4494" i="33"/>
  <c r="G4493" i="33"/>
  <c r="G4450" i="33"/>
  <c r="G4449" i="33"/>
  <c r="G4405" i="33"/>
  <c r="G4404" i="33"/>
  <c r="G4360" i="33"/>
  <c r="G4359" i="33"/>
  <c r="G4315" i="33"/>
  <c r="G4314" i="33"/>
  <c r="G4271" i="33"/>
  <c r="G4270" i="33"/>
  <c r="G4226" i="33"/>
  <c r="G4225" i="33"/>
  <c r="G4181" i="33"/>
  <c r="G4180" i="33"/>
  <c r="G4136" i="33"/>
  <c r="G4135" i="33"/>
  <c r="G4090" i="33"/>
  <c r="G4089" i="33"/>
  <c r="G4046" i="33"/>
  <c r="G4045" i="33"/>
  <c r="G4001" i="33"/>
  <c r="G4000" i="33"/>
  <c r="G3955" i="33"/>
  <c r="G3954" i="33"/>
  <c r="E3367" i="33"/>
  <c r="G3367" i="33" s="1"/>
  <c r="G3366" i="33"/>
  <c r="E3366" i="33"/>
  <c r="G3361" i="33"/>
  <c r="G3360" i="33"/>
  <c r="G3359" i="33"/>
  <c r="G3358" i="33"/>
  <c r="G3357" i="33"/>
  <c r="G3356" i="33"/>
  <c r="E3313" i="33"/>
  <c r="G3313" i="33" s="1"/>
  <c r="E3312" i="33"/>
  <c r="G3312" i="33" s="1"/>
  <c r="G3307" i="33"/>
  <c r="G3306" i="33"/>
  <c r="G3305" i="33"/>
  <c r="G3304" i="33"/>
  <c r="G3303" i="33"/>
  <c r="G3302" i="33"/>
  <c r="E3259" i="33"/>
  <c r="G3259" i="33" s="1"/>
  <c r="G3258" i="33"/>
  <c r="E3258" i="33"/>
  <c r="G3253" i="33"/>
  <c r="G3252" i="33"/>
  <c r="G3251" i="33"/>
  <c r="G3250" i="33"/>
  <c r="G3249" i="33"/>
  <c r="G3248" i="33"/>
  <c r="E3201" i="33"/>
  <c r="G3201" i="33" s="1"/>
  <c r="E3200" i="33"/>
  <c r="G3200" i="33" s="1"/>
  <c r="G3195" i="33"/>
  <c r="G3194" i="33"/>
  <c r="G3193" i="33"/>
  <c r="G3192" i="33"/>
  <c r="G3191" i="33"/>
  <c r="G3190" i="33"/>
  <c r="G506" i="33"/>
  <c r="G505" i="33"/>
  <c r="G504" i="33"/>
  <c r="G503" i="33"/>
  <c r="G456" i="33"/>
  <c r="G455" i="33"/>
  <c r="G454" i="33"/>
  <c r="G453" i="33"/>
  <c r="G449" i="33"/>
  <c r="G404" i="33"/>
  <c r="G403" i="33"/>
  <c r="G402" i="33"/>
  <c r="G401" i="33"/>
  <c r="G290" i="33"/>
  <c r="F13" i="36"/>
  <c r="E13" i="36"/>
  <c r="B13" i="36"/>
  <c r="A13" i="36"/>
  <c r="F13" i="35"/>
  <c r="E13" i="35"/>
  <c r="B13" i="35"/>
  <c r="A13" i="35"/>
  <c r="F14" i="33"/>
  <c r="D14" i="33"/>
  <c r="B14" i="33"/>
  <c r="A14" i="33"/>
  <c r="F28" i="36"/>
  <c r="G490" i="33" l="1"/>
  <c r="B69" i="23" l="1"/>
  <c r="B67" i="23"/>
  <c r="B65" i="23"/>
  <c r="B63" i="23"/>
  <c r="B61" i="23"/>
  <c r="B59" i="23"/>
  <c r="B57" i="23"/>
  <c r="B55" i="23"/>
  <c r="B53" i="23"/>
  <c r="A14" i="10"/>
  <c r="H18" i="10"/>
  <c r="H19" i="10" s="1"/>
  <c r="H20" i="10" s="1"/>
  <c r="H21" i="10" s="1"/>
  <c r="H22" i="10" s="1"/>
  <c r="H23" i="10" s="1"/>
  <c r="H24" i="10" s="1"/>
  <c r="H25" i="10" s="1"/>
  <c r="H26" i="10" s="1"/>
  <c r="H27" i="10" s="1"/>
  <c r="H28" i="10" s="1"/>
  <c r="H29" i="10" s="1"/>
  <c r="H30" i="10" s="1"/>
  <c r="H31" i="10" s="1"/>
  <c r="H32" i="10" s="1"/>
  <c r="H33" i="10" s="1"/>
  <c r="H34" i="10" s="1"/>
  <c r="H35" i="10" s="1"/>
  <c r="H36" i="10" s="1"/>
  <c r="H37" i="10" s="1"/>
  <c r="H38" i="10" s="1"/>
  <c r="H39" i="10" s="1"/>
  <c r="H40" i="10" s="1"/>
  <c r="H41" i="10" s="1"/>
  <c r="H42" i="10" s="1"/>
  <c r="H43" i="10" s="1"/>
  <c r="H44" i="10" s="1"/>
  <c r="H45" i="10" s="1"/>
  <c r="H46" i="10" s="1"/>
  <c r="H47" i="10" s="1"/>
  <c r="H48" i="10" s="1"/>
  <c r="H49" i="10" s="1"/>
  <c r="H50" i="10" s="1"/>
  <c r="H51" i="10" s="1"/>
  <c r="H52" i="10" s="1"/>
  <c r="H53" i="10" s="1"/>
  <c r="H54" i="10" s="1"/>
  <c r="H55" i="10" s="1"/>
  <c r="H56" i="10" s="1"/>
  <c r="H57" i="10" s="1"/>
  <c r="H58" i="10" s="1"/>
  <c r="H59" i="10" s="1"/>
  <c r="H60" i="10" s="1"/>
  <c r="H61" i="10" s="1"/>
  <c r="H62" i="10" s="1"/>
  <c r="H63" i="10" s="1"/>
  <c r="H64" i="10" s="1"/>
  <c r="H65" i="10" s="1"/>
  <c r="H66" i="10" s="1"/>
  <c r="H67" i="10" s="1"/>
  <c r="H68" i="10" s="1"/>
  <c r="H69" i="10" s="1"/>
  <c r="H70" i="10" s="1"/>
  <c r="H71" i="10" s="1"/>
  <c r="H72" i="10" s="1"/>
  <c r="H73" i="10" s="1"/>
  <c r="H74" i="10" s="1"/>
  <c r="H75" i="10" s="1"/>
  <c r="H76" i="10" s="1"/>
  <c r="H77" i="10" s="1"/>
  <c r="H78" i="10" s="1"/>
  <c r="H79" i="10" s="1"/>
  <c r="H80" i="10" s="1"/>
  <c r="H81" i="10" s="1"/>
  <c r="H82" i="10" s="1"/>
  <c r="H83" i="10" s="1"/>
  <c r="H84" i="10" s="1"/>
  <c r="H85" i="10" s="1"/>
  <c r="H86" i="10" s="1"/>
  <c r="H87" i="10" s="1"/>
  <c r="H88" i="10" s="1"/>
  <c r="H89" i="10" s="1"/>
  <c r="H90" i="10" s="1"/>
  <c r="H91" i="10" s="1"/>
  <c r="H92" i="10" s="1"/>
  <c r="H93" i="10" s="1"/>
  <c r="H94" i="10" s="1"/>
  <c r="H95" i="10" s="1"/>
  <c r="H96" i="10" s="1"/>
  <c r="H97" i="10" s="1"/>
  <c r="H98" i="10" s="1"/>
  <c r="H99" i="10" s="1"/>
  <c r="H100" i="10" s="1"/>
  <c r="H101" i="10" s="1"/>
  <c r="H102" i="10" s="1"/>
  <c r="H103" i="10" s="1"/>
  <c r="H104" i="10" s="1"/>
  <c r="H105" i="10" s="1"/>
  <c r="H106" i="10" s="1"/>
  <c r="H107" i="10" s="1"/>
  <c r="H108" i="10" s="1"/>
  <c r="H109" i="10" s="1"/>
  <c r="H110" i="10" s="1"/>
  <c r="H111" i="10" s="1"/>
  <c r="H112" i="10" s="1"/>
  <c r="H113" i="10" s="1"/>
  <c r="H114" i="10" s="1"/>
  <c r="H115" i="10" s="1"/>
  <c r="H116" i="10" s="1"/>
  <c r="H117" i="10" s="1"/>
  <c r="H118" i="10" s="1"/>
  <c r="H119" i="10" s="1"/>
  <c r="H120" i="10" s="1"/>
  <c r="H121" i="10" s="1"/>
  <c r="H122" i="10" s="1"/>
  <c r="H123" i="10" s="1"/>
  <c r="H124" i="10" s="1"/>
  <c r="H125" i="10" s="1"/>
  <c r="H126" i="10" s="1"/>
  <c r="H127" i="10" s="1"/>
  <c r="H128" i="10" s="1"/>
  <c r="H129" i="10" s="1"/>
  <c r="H130" i="10" s="1"/>
  <c r="H131" i="10" s="1"/>
  <c r="H132" i="10" s="1"/>
  <c r="H133" i="10" s="1"/>
  <c r="H134" i="10" s="1"/>
  <c r="H135" i="10" s="1"/>
  <c r="H136" i="10" s="1"/>
  <c r="H137" i="10" s="1"/>
  <c r="H138" i="10" s="1"/>
  <c r="H139" i="10" s="1"/>
  <c r="H140" i="10" s="1"/>
  <c r="H141" i="10" s="1"/>
  <c r="H142" i="10" s="1"/>
  <c r="H143" i="10" s="1"/>
  <c r="H144" i="10" s="1"/>
  <c r="H145" i="10" s="1"/>
  <c r="H146" i="10" s="1"/>
  <c r="H147" i="10" s="1"/>
  <c r="H148" i="10" s="1"/>
  <c r="H149" i="10" s="1"/>
  <c r="H150" i="10" s="1"/>
  <c r="H151" i="10" s="1"/>
  <c r="H152" i="10" s="1"/>
  <c r="H153" i="10" s="1"/>
  <c r="H154" i="10" s="1"/>
  <c r="H155" i="10" s="1"/>
  <c r="H156" i="10" s="1"/>
  <c r="H157" i="10" s="1"/>
  <c r="H158" i="10" s="1"/>
  <c r="H159" i="10" s="1"/>
  <c r="H160" i="10" s="1"/>
  <c r="H161" i="10" s="1"/>
  <c r="H162" i="10" s="1"/>
  <c r="H163" i="10" s="1"/>
  <c r="H164" i="10" s="1"/>
  <c r="H165" i="10" s="1"/>
  <c r="H166" i="10" s="1"/>
  <c r="H167" i="10" s="1"/>
  <c r="H168" i="10" s="1"/>
  <c r="H169" i="10" s="1"/>
  <c r="H170" i="10" s="1"/>
  <c r="H171" i="10" s="1"/>
  <c r="H172" i="10" s="1"/>
  <c r="H173" i="10" s="1"/>
  <c r="H174" i="10" s="1"/>
  <c r="H175" i="10" s="1"/>
  <c r="H176" i="10" s="1"/>
  <c r="H177" i="10" s="1"/>
  <c r="H178" i="10" s="1"/>
  <c r="H179" i="10" s="1"/>
  <c r="H180" i="10" s="1"/>
  <c r="H181" i="10" s="1"/>
  <c r="H182" i="10" s="1"/>
  <c r="H183" i="10" s="1"/>
  <c r="H184" i="10" s="1"/>
  <c r="H185" i="10" s="1"/>
  <c r="H186" i="10" s="1"/>
  <c r="H187" i="10" s="1"/>
  <c r="H188" i="10" s="1"/>
  <c r="H189" i="10" s="1"/>
  <c r="H190" i="10" s="1"/>
  <c r="H191" i="10" s="1"/>
  <c r="H192" i="10" s="1"/>
  <c r="H193" i="10" s="1"/>
  <c r="H194" i="10" s="1"/>
  <c r="H195" i="10" s="1"/>
  <c r="H196" i="10" s="1"/>
  <c r="H197" i="10" s="1"/>
  <c r="H198" i="10" s="1"/>
  <c r="H199" i="10" s="1"/>
  <c r="H200" i="10" s="1"/>
  <c r="H201" i="10" s="1"/>
  <c r="H202" i="10" s="1"/>
  <c r="H203" i="10" s="1"/>
  <c r="H204" i="10" s="1"/>
  <c r="H205" i="10" s="1"/>
  <c r="H206" i="10" s="1"/>
  <c r="H207" i="10" s="1"/>
  <c r="H208" i="10" s="1"/>
  <c r="H209" i="10" s="1"/>
  <c r="H210" i="10" s="1"/>
  <c r="H211" i="10" s="1"/>
  <c r="H212" i="10" s="1"/>
  <c r="H213" i="10" s="1"/>
  <c r="H214" i="10" s="1"/>
  <c r="H215" i="10" s="1"/>
  <c r="H216" i="10" s="1"/>
  <c r="H217" i="10" s="1"/>
  <c r="H218" i="10" s="1"/>
  <c r="H219" i="10" s="1"/>
  <c r="H220" i="10" s="1"/>
  <c r="H221" i="10" s="1"/>
  <c r="H222" i="10" s="1"/>
  <c r="H223" i="10" s="1"/>
  <c r="H224" i="10" s="1"/>
  <c r="H225" i="10" s="1"/>
  <c r="H226" i="10" s="1"/>
  <c r="H227" i="10" s="1"/>
  <c r="H228" i="10" s="1"/>
  <c r="H229" i="10" s="1"/>
  <c r="H230" i="10" s="1"/>
  <c r="H231" i="10" s="1"/>
  <c r="H232" i="10" s="1"/>
  <c r="H233" i="10" s="1"/>
  <c r="H234" i="10" s="1"/>
  <c r="H235" i="10" s="1"/>
  <c r="H236" i="10" s="1"/>
  <c r="H237" i="10" s="1"/>
  <c r="H238" i="10" s="1"/>
  <c r="H239" i="10" s="1"/>
  <c r="H240" i="10" s="1"/>
  <c r="H241" i="10" s="1"/>
  <c r="H242" i="10" s="1"/>
  <c r="H243" i="10" s="1"/>
  <c r="H244" i="10" s="1"/>
  <c r="H245" i="10" s="1"/>
  <c r="H246" i="10" s="1"/>
  <c r="H247" i="10" s="1"/>
  <c r="H248" i="10" s="1"/>
  <c r="H249" i="10" s="1"/>
  <c r="H250" i="10" s="1"/>
  <c r="H251" i="10" s="1"/>
  <c r="H252" i="10" s="1"/>
  <c r="H253" i="10" s="1"/>
  <c r="H254" i="10" s="1"/>
  <c r="H255" i="10" s="1"/>
  <c r="H256" i="10" s="1"/>
  <c r="H257" i="10" s="1"/>
  <c r="H258" i="10" s="1"/>
  <c r="H259" i="10" s="1"/>
  <c r="H260" i="10" s="1"/>
  <c r="H261" i="10" s="1"/>
  <c r="H262" i="10" s="1"/>
  <c r="H263" i="10" s="1"/>
  <c r="H264" i="10" s="1"/>
  <c r="H265" i="10" s="1"/>
  <c r="H266" i="10" s="1"/>
  <c r="H267" i="10" s="1"/>
  <c r="H268" i="10" s="1"/>
  <c r="H269" i="10" s="1"/>
  <c r="H270" i="10" s="1"/>
  <c r="H271" i="10" s="1"/>
  <c r="H272" i="10" s="1"/>
  <c r="H273" i="10" s="1"/>
  <c r="H274" i="10" s="1"/>
  <c r="H275" i="10" s="1"/>
  <c r="H276" i="10" s="1"/>
  <c r="H277" i="10" s="1"/>
  <c r="H278" i="10" s="1"/>
  <c r="H279" i="10" s="1"/>
  <c r="H280" i="10" s="1"/>
  <c r="H281" i="10" s="1"/>
  <c r="H282" i="10" s="1"/>
  <c r="H283" i="10" s="1"/>
  <c r="H284" i="10" s="1"/>
  <c r="H285" i="10" s="1"/>
  <c r="H286" i="10" s="1"/>
  <c r="H287" i="10" s="1"/>
  <c r="H288" i="10" s="1"/>
  <c r="H289" i="10" s="1"/>
  <c r="H290" i="10" s="1"/>
  <c r="H291" i="10" s="1"/>
  <c r="H292" i="10" s="1"/>
  <c r="H293" i="10" s="1"/>
  <c r="H294" i="10" s="1"/>
  <c r="H295" i="10" s="1"/>
  <c r="H296" i="10" s="1"/>
  <c r="H297" i="10" s="1"/>
  <c r="H298" i="10" s="1"/>
  <c r="H299" i="10" s="1"/>
  <c r="H300" i="10" s="1"/>
  <c r="H301" i="10" s="1"/>
  <c r="H302" i="10" s="1"/>
  <c r="H303" i="10" s="1"/>
  <c r="H304" i="10" s="1"/>
  <c r="H305" i="10" s="1"/>
  <c r="H306" i="10" s="1"/>
  <c r="H307" i="10" s="1"/>
  <c r="H308" i="10" s="1"/>
  <c r="H309" i="10" s="1"/>
  <c r="H310" i="10" s="1"/>
  <c r="H311" i="10" s="1"/>
  <c r="H312" i="10" s="1"/>
  <c r="H313" i="10" s="1"/>
  <c r="H314" i="10" s="1"/>
  <c r="H315" i="10" s="1"/>
  <c r="H316" i="10" s="1"/>
  <c r="H317" i="10" s="1"/>
  <c r="H318" i="10" s="1"/>
  <c r="H319" i="10" s="1"/>
  <c r="H320" i="10" s="1"/>
  <c r="H321" i="10" s="1"/>
  <c r="H322" i="10" s="1"/>
  <c r="H323" i="10" s="1"/>
  <c r="H324" i="10" s="1"/>
  <c r="H325" i="10" s="1"/>
  <c r="H326" i="10" s="1"/>
  <c r="H327" i="10" s="1"/>
  <c r="H328" i="10" s="1"/>
  <c r="H329" i="10" s="1"/>
  <c r="H330" i="10" s="1"/>
  <c r="H331" i="10" s="1"/>
  <c r="H332" i="10" s="1"/>
  <c r="H333" i="10" s="1"/>
  <c r="H334" i="10" s="1"/>
  <c r="H335" i="10" s="1"/>
  <c r="H336" i="10" s="1"/>
  <c r="H337" i="10" s="1"/>
  <c r="H338" i="10" s="1"/>
  <c r="H339" i="10" s="1"/>
  <c r="H340" i="10" s="1"/>
  <c r="H341" i="10" s="1"/>
  <c r="H342" i="10" s="1"/>
  <c r="H343" i="10" s="1"/>
  <c r="H344" i="10" s="1"/>
  <c r="H345" i="10" s="1"/>
  <c r="H346" i="10" s="1"/>
  <c r="H347" i="10" s="1"/>
  <c r="H348" i="10" s="1"/>
  <c r="H349" i="10" s="1"/>
  <c r="H350" i="10" s="1"/>
  <c r="H351" i="10" s="1"/>
  <c r="H352" i="10" s="1"/>
  <c r="H353" i="10" s="1"/>
  <c r="H354" i="10" s="1"/>
  <c r="H355" i="10" s="1"/>
  <c r="H356" i="10" s="1"/>
  <c r="H357" i="10" s="1"/>
  <c r="H358" i="10" s="1"/>
  <c r="H359" i="10" s="1"/>
  <c r="H360" i="10" s="1"/>
  <c r="H361" i="10" s="1"/>
  <c r="H362" i="10" s="1"/>
  <c r="H363" i="10" s="1"/>
  <c r="H364" i="10" s="1"/>
  <c r="H365" i="10" s="1"/>
  <c r="H366" i="10" s="1"/>
  <c r="H367" i="10" s="1"/>
  <c r="H368" i="10" s="1"/>
  <c r="H369" i="10" s="1"/>
  <c r="H370" i="10" s="1"/>
  <c r="H371" i="10" s="1"/>
  <c r="H372" i="10" s="1"/>
  <c r="H373" i="10" s="1"/>
  <c r="H374" i="10" s="1"/>
  <c r="H375" i="10" s="1"/>
  <c r="H376" i="10" s="1"/>
  <c r="H377" i="10" s="1"/>
  <c r="H378" i="10" s="1"/>
  <c r="H379" i="10" s="1"/>
  <c r="H380" i="10" s="1"/>
  <c r="H381" i="10" s="1"/>
  <c r="H382" i="10" s="1"/>
  <c r="H383" i="10" s="1"/>
  <c r="H384" i="10" s="1"/>
  <c r="H385" i="10" s="1"/>
  <c r="H386" i="10" s="1"/>
  <c r="H387" i="10" s="1"/>
  <c r="H388" i="10" s="1"/>
  <c r="H389" i="10" s="1"/>
  <c r="H390" i="10" s="1"/>
  <c r="H391" i="10" s="1"/>
  <c r="H392" i="10" s="1"/>
  <c r="H393" i="10" s="1"/>
  <c r="H394" i="10" s="1"/>
  <c r="H395" i="10" s="1"/>
  <c r="H396" i="10" s="1"/>
  <c r="H397" i="10" s="1"/>
  <c r="H398" i="10" s="1"/>
  <c r="H399" i="10" s="1"/>
  <c r="H400" i="10" s="1"/>
  <c r="H401" i="10" s="1"/>
  <c r="H402" i="10" s="1"/>
  <c r="H403" i="10" s="1"/>
  <c r="H404" i="10" s="1"/>
  <c r="H405" i="10" s="1"/>
  <c r="H406" i="10" s="1"/>
  <c r="H407" i="10" s="1"/>
  <c r="H408" i="10" s="1"/>
  <c r="H409" i="10" s="1"/>
  <c r="H410" i="10" s="1"/>
  <c r="H411" i="10" s="1"/>
  <c r="H412" i="10" s="1"/>
  <c r="H413" i="10" s="1"/>
  <c r="H414" i="10" s="1"/>
  <c r="H415" i="10" s="1"/>
  <c r="H416" i="10" s="1"/>
  <c r="H417" i="10" s="1"/>
  <c r="H418" i="10" s="1"/>
  <c r="H419" i="10" s="1"/>
  <c r="H420" i="10" s="1"/>
  <c r="H421" i="10" s="1"/>
  <c r="H422" i="10" s="1"/>
  <c r="H423" i="10" s="1"/>
  <c r="H424" i="10" s="1"/>
  <c r="H425" i="10" s="1"/>
  <c r="H426" i="10" s="1"/>
  <c r="H427" i="10" s="1"/>
  <c r="H428" i="10" s="1"/>
  <c r="H429" i="10" s="1"/>
  <c r="H430" i="10" s="1"/>
  <c r="H431" i="10" s="1"/>
  <c r="H432" i="10" s="1"/>
  <c r="H433" i="10" s="1"/>
  <c r="H434" i="10" s="1"/>
  <c r="H435" i="10" s="1"/>
  <c r="H436" i="10" s="1"/>
  <c r="H437" i="10" s="1"/>
  <c r="H438" i="10" s="1"/>
  <c r="H439" i="10" s="1"/>
  <c r="H440" i="10" s="1"/>
  <c r="H441" i="10" s="1"/>
  <c r="H442" i="10" s="1"/>
  <c r="H443" i="10" s="1"/>
  <c r="H444" i="10" s="1"/>
  <c r="H445" i="10" s="1"/>
  <c r="H446" i="10" s="1"/>
  <c r="H447" i="10" s="1"/>
  <c r="H448" i="10" s="1"/>
  <c r="H449" i="10" s="1"/>
  <c r="H450" i="10" s="1"/>
  <c r="H451" i="10" s="1"/>
  <c r="H452" i="10" s="1"/>
  <c r="H453" i="10" s="1"/>
  <c r="H454" i="10" s="1"/>
  <c r="H455" i="10" s="1"/>
  <c r="H456" i="10" s="1"/>
  <c r="H457" i="10" s="1"/>
  <c r="H458" i="10" s="1"/>
  <c r="H459" i="10" s="1"/>
  <c r="H460" i="10" s="1"/>
  <c r="H461" i="10" s="1"/>
  <c r="H462" i="10" s="1"/>
  <c r="H463" i="10" s="1"/>
  <c r="H464" i="10" s="1"/>
  <c r="H465" i="10" s="1"/>
  <c r="H466" i="10" s="1"/>
  <c r="H467" i="10" s="1"/>
  <c r="H468" i="10" s="1"/>
  <c r="H469" i="10" s="1"/>
  <c r="H470" i="10" s="1"/>
  <c r="H471" i="10" s="1"/>
  <c r="H472" i="10" s="1"/>
  <c r="H473" i="10" s="1"/>
  <c r="H474" i="10" s="1"/>
  <c r="H475" i="10" s="1"/>
  <c r="H476" i="10" s="1"/>
  <c r="H477" i="10" s="1"/>
  <c r="H478" i="10" s="1"/>
  <c r="H479" i="10" s="1"/>
  <c r="H480" i="10" s="1"/>
  <c r="H481" i="10" s="1"/>
  <c r="H482" i="10" s="1"/>
  <c r="H483" i="10" s="1"/>
  <c r="H484" i="10" s="1"/>
  <c r="H485" i="10" s="1"/>
  <c r="H486" i="10" s="1"/>
  <c r="H487" i="10" s="1"/>
  <c r="H488" i="10" s="1"/>
  <c r="H489" i="10" s="1"/>
  <c r="H490" i="10" s="1"/>
  <c r="H491" i="10" s="1"/>
  <c r="H492" i="10" s="1"/>
  <c r="H493" i="10" s="1"/>
  <c r="H494" i="10" s="1"/>
  <c r="H495" i="10" s="1"/>
  <c r="H496" i="10" s="1"/>
  <c r="H497" i="10" s="1"/>
  <c r="H498" i="10" s="1"/>
  <c r="H499" i="10" s="1"/>
  <c r="H500" i="10" s="1"/>
  <c r="H501" i="10" s="1"/>
  <c r="H502" i="10" s="1"/>
  <c r="H503" i="10" s="1"/>
  <c r="H504" i="10" s="1"/>
  <c r="H505" i="10" s="1"/>
  <c r="H506" i="10" s="1"/>
  <c r="H507" i="10" s="1"/>
  <c r="H508" i="10" s="1"/>
  <c r="H509" i="10" s="1"/>
  <c r="H510" i="10" s="1"/>
  <c r="H511" i="10" s="1"/>
  <c r="H512" i="10" s="1"/>
  <c r="H513" i="10" s="1"/>
  <c r="H514" i="10" s="1"/>
  <c r="H515" i="10" s="1"/>
  <c r="H516" i="10" s="1"/>
  <c r="H517" i="10" s="1"/>
  <c r="H518" i="10" s="1"/>
  <c r="H519" i="10" s="1"/>
  <c r="H520" i="10" s="1"/>
  <c r="H521" i="10" s="1"/>
  <c r="H522" i="10" s="1"/>
  <c r="H523" i="10" s="1"/>
  <c r="H524" i="10" s="1"/>
  <c r="H525" i="10" s="1"/>
  <c r="H526" i="10" s="1"/>
  <c r="H527" i="10" s="1"/>
  <c r="H528" i="10" s="1"/>
  <c r="H529" i="10" s="1"/>
  <c r="H530" i="10" s="1"/>
  <c r="H531" i="10" s="1"/>
  <c r="H532" i="10" s="1"/>
  <c r="H533" i="10" s="1"/>
  <c r="H534" i="10" s="1"/>
  <c r="H535" i="10" s="1"/>
  <c r="H536" i="10" s="1"/>
  <c r="H537" i="10" s="1"/>
  <c r="H538" i="10" s="1"/>
  <c r="H539" i="10" s="1"/>
  <c r="H540" i="10" s="1"/>
  <c r="H541" i="10" s="1"/>
  <c r="H542" i="10" s="1"/>
  <c r="H543" i="10" s="1"/>
  <c r="H544" i="10" s="1"/>
  <c r="H545" i="10" s="1"/>
  <c r="H546" i="10" s="1"/>
  <c r="H547" i="10" s="1"/>
  <c r="H548" i="10" s="1"/>
  <c r="H549" i="10" s="1"/>
  <c r="H550" i="10" s="1"/>
  <c r="H551" i="10" s="1"/>
  <c r="H552" i="10" s="1"/>
  <c r="H553" i="10" s="1"/>
  <c r="H554" i="10" s="1"/>
  <c r="H555" i="10" s="1"/>
  <c r="H556" i="10" s="1"/>
  <c r="H557" i="10" s="1"/>
  <c r="H558" i="10" s="1"/>
  <c r="H559" i="10" s="1"/>
  <c r="H560" i="10" s="1"/>
  <c r="H561" i="10" s="1"/>
  <c r="H562" i="10" s="1"/>
  <c r="H563" i="10" s="1"/>
  <c r="H564" i="10" s="1"/>
  <c r="H565" i="10" s="1"/>
  <c r="H566" i="10" s="1"/>
  <c r="H567" i="10" s="1"/>
  <c r="H568" i="10" s="1"/>
  <c r="H569" i="10" s="1"/>
  <c r="H570" i="10" s="1"/>
  <c r="H571" i="10" s="1"/>
  <c r="H572" i="10" s="1"/>
  <c r="H573" i="10" s="1"/>
  <c r="H574" i="10" s="1"/>
  <c r="H575" i="10" s="1"/>
  <c r="H576" i="10" s="1"/>
  <c r="H577" i="10" s="1"/>
  <c r="H578" i="10" s="1"/>
  <c r="H579" i="10" s="1"/>
  <c r="H580" i="10" s="1"/>
  <c r="H581" i="10" s="1"/>
  <c r="H582" i="10" s="1"/>
  <c r="H583" i="10" s="1"/>
  <c r="H584" i="10" s="1"/>
  <c r="H585" i="10" s="1"/>
  <c r="H586" i="10" s="1"/>
  <c r="H587" i="10" s="1"/>
  <c r="H588" i="10" s="1"/>
  <c r="H589" i="10" s="1"/>
  <c r="H590" i="10" s="1"/>
  <c r="H591" i="10" s="1"/>
  <c r="H592" i="10" s="1"/>
  <c r="H593" i="10" s="1"/>
  <c r="H594" i="10" s="1"/>
  <c r="H595" i="10" s="1"/>
  <c r="H596" i="10" s="1"/>
  <c r="H597" i="10" s="1"/>
  <c r="H598" i="10" s="1"/>
  <c r="H599" i="10" s="1"/>
  <c r="H600" i="10" s="1"/>
  <c r="H601" i="10" s="1"/>
  <c r="H602" i="10" s="1"/>
  <c r="H603" i="10" s="1"/>
  <c r="H604" i="10" s="1"/>
  <c r="H605" i="10" s="1"/>
  <c r="H606" i="10" s="1"/>
  <c r="H607" i="10" s="1"/>
  <c r="H608" i="10" s="1"/>
  <c r="H609" i="10" s="1"/>
  <c r="H610" i="10" s="1"/>
  <c r="A14" i="5"/>
  <c r="A14" i="23" s="1"/>
  <c r="H731" i="5"/>
  <c r="J731" i="5"/>
  <c r="K731" i="5" s="1"/>
  <c r="H732" i="5"/>
  <c r="J732" i="5"/>
  <c r="K732" i="5" s="1"/>
  <c r="J730" i="5"/>
  <c r="K730" i="5" s="1"/>
  <c r="H730" i="5"/>
  <c r="J727" i="5"/>
  <c r="K727" i="5" s="1"/>
  <c r="K726" i="5" s="1"/>
  <c r="F117" i="38" s="1"/>
  <c r="H727" i="5"/>
  <c r="J725" i="5"/>
  <c r="K725" i="5" s="1"/>
  <c r="K724" i="5" s="1"/>
  <c r="F116" i="38" s="1"/>
  <c r="H725" i="5"/>
  <c r="H722" i="5"/>
  <c r="J722" i="5"/>
  <c r="K722" i="5" s="1"/>
  <c r="H723" i="5"/>
  <c r="J723" i="5"/>
  <c r="K723" i="5" s="1"/>
  <c r="H718" i="5"/>
  <c r="J718" i="5"/>
  <c r="K718" i="5" s="1"/>
  <c r="H719" i="5"/>
  <c r="J719" i="5"/>
  <c r="K719" i="5" s="1"/>
  <c r="H710" i="5"/>
  <c r="J710" i="5"/>
  <c r="K710" i="5" s="1"/>
  <c r="H711" i="5"/>
  <c r="J711" i="5"/>
  <c r="K711" i="5" s="1"/>
  <c r="H712" i="5"/>
  <c r="J712" i="5"/>
  <c r="K712" i="5" s="1"/>
  <c r="H713" i="5"/>
  <c r="J713" i="5"/>
  <c r="K713" i="5" s="1"/>
  <c r="J721" i="5"/>
  <c r="K721" i="5" s="1"/>
  <c r="H721" i="5"/>
  <c r="J717" i="5"/>
  <c r="K717" i="5" s="1"/>
  <c r="H717" i="5"/>
  <c r="J715" i="5"/>
  <c r="K715" i="5" s="1"/>
  <c r="K714" i="5" s="1"/>
  <c r="F113" i="38" s="1"/>
  <c r="H715" i="5"/>
  <c r="J709" i="5"/>
  <c r="K709" i="5" s="1"/>
  <c r="H709" i="5"/>
  <c r="J707" i="5"/>
  <c r="K707" i="5" s="1"/>
  <c r="K706" i="5" s="1"/>
  <c r="F111" i="38" s="1"/>
  <c r="H707" i="5"/>
  <c r="H705" i="5"/>
  <c r="J705" i="5"/>
  <c r="K705" i="5" s="1"/>
  <c r="J704" i="5"/>
  <c r="K704" i="5" s="1"/>
  <c r="H704" i="5"/>
  <c r="H687" i="5"/>
  <c r="J687" i="5"/>
  <c r="K687" i="5" s="1"/>
  <c r="H688" i="5"/>
  <c r="J688" i="5"/>
  <c r="K688" i="5" s="1"/>
  <c r="H689" i="5"/>
  <c r="J689" i="5"/>
  <c r="K689" i="5" s="1"/>
  <c r="H690" i="5"/>
  <c r="J690" i="5"/>
  <c r="K690" i="5" s="1"/>
  <c r="H691" i="5"/>
  <c r="J691" i="5"/>
  <c r="K691" i="5" s="1"/>
  <c r="H692" i="5"/>
  <c r="J692" i="5"/>
  <c r="K692" i="5" s="1"/>
  <c r="H693" i="5"/>
  <c r="J693" i="5"/>
  <c r="K693" i="5" s="1"/>
  <c r="H694" i="5"/>
  <c r="J694" i="5"/>
  <c r="K694" i="5" s="1"/>
  <c r="H695" i="5"/>
  <c r="J695" i="5"/>
  <c r="K695" i="5" s="1"/>
  <c r="H696" i="5"/>
  <c r="J696" i="5"/>
  <c r="K696" i="5" s="1"/>
  <c r="H697" i="5"/>
  <c r="J697" i="5"/>
  <c r="K697" i="5" s="1"/>
  <c r="H698" i="5"/>
  <c r="J698" i="5"/>
  <c r="K698" i="5" s="1"/>
  <c r="H699" i="5"/>
  <c r="J699" i="5"/>
  <c r="K699" i="5" s="1"/>
  <c r="H700" i="5"/>
  <c r="J700" i="5"/>
  <c r="K700" i="5" s="1"/>
  <c r="H701" i="5"/>
  <c r="J701" i="5"/>
  <c r="K701" i="5" s="1"/>
  <c r="H702" i="5"/>
  <c r="J702" i="5"/>
  <c r="K702" i="5" s="1"/>
  <c r="J686" i="5"/>
  <c r="K686" i="5" s="1"/>
  <c r="H686" i="5"/>
  <c r="H683" i="5"/>
  <c r="J683" i="5"/>
  <c r="K683" i="5" s="1"/>
  <c r="H684" i="5"/>
  <c r="J684" i="5"/>
  <c r="K684" i="5" s="1"/>
  <c r="J682" i="5"/>
  <c r="K682" i="5" s="1"/>
  <c r="H682" i="5"/>
  <c r="J680" i="5"/>
  <c r="K680" i="5" s="1"/>
  <c r="K679" i="5" s="1"/>
  <c r="F107" i="38" s="1"/>
  <c r="H680" i="5"/>
  <c r="H677" i="5"/>
  <c r="J677" i="5"/>
  <c r="K677" i="5" s="1"/>
  <c r="H678" i="5"/>
  <c r="J678" i="5"/>
  <c r="K678" i="5" s="1"/>
  <c r="J676" i="5"/>
  <c r="K676" i="5" s="1"/>
  <c r="H676" i="5"/>
  <c r="H663" i="5"/>
  <c r="J663" i="5"/>
  <c r="K663" i="5" s="1"/>
  <c r="H664" i="5"/>
  <c r="J664" i="5"/>
  <c r="K664" i="5" s="1"/>
  <c r="H665" i="5"/>
  <c r="J665" i="5"/>
  <c r="K665" i="5" s="1"/>
  <c r="H666" i="5"/>
  <c r="J666" i="5"/>
  <c r="K666" i="5" s="1"/>
  <c r="H667" i="5"/>
  <c r="J667" i="5"/>
  <c r="K667" i="5" s="1"/>
  <c r="H668" i="5"/>
  <c r="J668" i="5"/>
  <c r="K668" i="5" s="1"/>
  <c r="H669" i="5"/>
  <c r="J669" i="5"/>
  <c r="K669" i="5" s="1"/>
  <c r="H670" i="5"/>
  <c r="J670" i="5"/>
  <c r="K670" i="5" s="1"/>
  <c r="H671" i="5"/>
  <c r="J671" i="5"/>
  <c r="K671" i="5" s="1"/>
  <c r="H672" i="5"/>
  <c r="J672" i="5"/>
  <c r="K672" i="5" s="1"/>
  <c r="H673" i="5"/>
  <c r="J673" i="5"/>
  <c r="K673" i="5" s="1"/>
  <c r="H674" i="5"/>
  <c r="J674" i="5"/>
  <c r="K674" i="5" s="1"/>
  <c r="J662" i="5"/>
  <c r="K662" i="5" s="1"/>
  <c r="H662" i="5"/>
  <c r="J608" i="5"/>
  <c r="J609" i="5"/>
  <c r="J610" i="5"/>
  <c r="H611" i="5"/>
  <c r="J611" i="5"/>
  <c r="K611" i="5" s="1"/>
  <c r="H612" i="5"/>
  <c r="J612" i="5"/>
  <c r="K612" i="5" s="1"/>
  <c r="H613" i="5"/>
  <c r="J613" i="5"/>
  <c r="K613" i="5" s="1"/>
  <c r="H614" i="5"/>
  <c r="J614" i="5"/>
  <c r="K614" i="5" s="1"/>
  <c r="H615" i="5"/>
  <c r="J615" i="5"/>
  <c r="K615" i="5" s="1"/>
  <c r="H617" i="5"/>
  <c r="J617" i="5"/>
  <c r="K617" i="5" s="1"/>
  <c r="H618" i="5"/>
  <c r="J618" i="5"/>
  <c r="K618" i="5" s="1"/>
  <c r="H619" i="5"/>
  <c r="J619" i="5"/>
  <c r="K619" i="5" s="1"/>
  <c r="H620" i="5"/>
  <c r="J620" i="5"/>
  <c r="K620" i="5" s="1"/>
  <c r="H621" i="5"/>
  <c r="J621" i="5"/>
  <c r="K621" i="5" s="1"/>
  <c r="H622" i="5"/>
  <c r="J622" i="5"/>
  <c r="K622" i="5" s="1"/>
  <c r="H624" i="5"/>
  <c r="J624" i="5"/>
  <c r="K624" i="5" s="1"/>
  <c r="H625" i="5"/>
  <c r="J625" i="5"/>
  <c r="K625" i="5" s="1"/>
  <c r="H626" i="5"/>
  <c r="J626" i="5"/>
  <c r="K626" i="5" s="1"/>
  <c r="H627" i="5"/>
  <c r="J627" i="5"/>
  <c r="K627" i="5" s="1"/>
  <c r="H628" i="5"/>
  <c r="J628" i="5"/>
  <c r="K628" i="5" s="1"/>
  <c r="H629" i="5"/>
  <c r="J629" i="5"/>
  <c r="K629" i="5" s="1"/>
  <c r="H630" i="5"/>
  <c r="J630" i="5"/>
  <c r="K630" i="5" s="1"/>
  <c r="H631" i="5"/>
  <c r="J631" i="5"/>
  <c r="K631" i="5" s="1"/>
  <c r="H632" i="5"/>
  <c r="J632" i="5"/>
  <c r="K632" i="5" s="1"/>
  <c r="H633" i="5"/>
  <c r="J633" i="5"/>
  <c r="K633" i="5" s="1"/>
  <c r="H634" i="5"/>
  <c r="J634" i="5"/>
  <c r="K634" i="5" s="1"/>
  <c r="H635" i="5"/>
  <c r="J635" i="5"/>
  <c r="K635" i="5" s="1"/>
  <c r="H636" i="5"/>
  <c r="J636" i="5"/>
  <c r="K636" i="5" s="1"/>
  <c r="H637" i="5"/>
  <c r="J637" i="5"/>
  <c r="K637" i="5" s="1"/>
  <c r="H638" i="5"/>
  <c r="J638" i="5"/>
  <c r="K638" i="5" s="1"/>
  <c r="H639" i="5"/>
  <c r="J639" i="5"/>
  <c r="K639" i="5" s="1"/>
  <c r="H640" i="5"/>
  <c r="J640" i="5"/>
  <c r="K640" i="5" s="1"/>
  <c r="H641" i="5"/>
  <c r="J641" i="5"/>
  <c r="K641" i="5" s="1"/>
  <c r="H642" i="5"/>
  <c r="J642" i="5"/>
  <c r="K642" i="5" s="1"/>
  <c r="H644" i="5"/>
  <c r="J644" i="5"/>
  <c r="K644" i="5" s="1"/>
  <c r="H645" i="5"/>
  <c r="J645" i="5"/>
  <c r="K645" i="5" s="1"/>
  <c r="H646" i="5"/>
  <c r="J646" i="5"/>
  <c r="K646" i="5" s="1"/>
  <c r="H648" i="5"/>
  <c r="J648" i="5"/>
  <c r="K648" i="5" s="1"/>
  <c r="H649" i="5"/>
  <c r="J649" i="5"/>
  <c r="K649" i="5" s="1"/>
  <c r="H650" i="5"/>
  <c r="J650" i="5"/>
  <c r="K650" i="5" s="1"/>
  <c r="H651" i="5"/>
  <c r="J651" i="5"/>
  <c r="K651" i="5" s="1"/>
  <c r="H652" i="5"/>
  <c r="J652" i="5"/>
  <c r="K652" i="5" s="1"/>
  <c r="H653" i="5"/>
  <c r="J653" i="5"/>
  <c r="K653" i="5" s="1"/>
  <c r="H654" i="5"/>
  <c r="J654" i="5"/>
  <c r="K654" i="5" s="1"/>
  <c r="H655" i="5"/>
  <c r="J655" i="5"/>
  <c r="K655" i="5" s="1"/>
  <c r="H656" i="5"/>
  <c r="J656" i="5"/>
  <c r="K656" i="5" s="1"/>
  <c r="H657" i="5"/>
  <c r="J657" i="5"/>
  <c r="K657" i="5" s="1"/>
  <c r="H658" i="5"/>
  <c r="J658" i="5"/>
  <c r="K658" i="5" s="1"/>
  <c r="J607" i="5"/>
  <c r="K607" i="5" s="1"/>
  <c r="H607" i="5"/>
  <c r="F610" i="5"/>
  <c r="H610" i="5" s="1"/>
  <c r="F609" i="5"/>
  <c r="H609" i="5" s="1"/>
  <c r="F608" i="5"/>
  <c r="H608" i="5" s="1"/>
  <c r="H599" i="5"/>
  <c r="J599" i="5"/>
  <c r="K599" i="5" s="1"/>
  <c r="H600" i="5"/>
  <c r="J600" i="5"/>
  <c r="K600" i="5" s="1"/>
  <c r="H601" i="5"/>
  <c r="J601" i="5"/>
  <c r="K601" i="5" s="1"/>
  <c r="H602" i="5"/>
  <c r="J602" i="5"/>
  <c r="K602" i="5" s="1"/>
  <c r="H603" i="5"/>
  <c r="J603" i="5"/>
  <c r="K603" i="5" s="1"/>
  <c r="J598" i="5"/>
  <c r="K598" i="5" s="1"/>
  <c r="H598" i="5"/>
  <c r="H595" i="5"/>
  <c r="J595" i="5"/>
  <c r="K595" i="5" s="1"/>
  <c r="J594" i="5"/>
  <c r="K594" i="5" s="1"/>
  <c r="H594" i="5"/>
  <c r="H582" i="5"/>
  <c r="J582" i="5"/>
  <c r="K582" i="5" s="1"/>
  <c r="H583" i="5"/>
  <c r="J583" i="5"/>
  <c r="K583" i="5" s="1"/>
  <c r="H584" i="5"/>
  <c r="J584" i="5"/>
  <c r="K584" i="5" s="1"/>
  <c r="H585" i="5"/>
  <c r="J585" i="5"/>
  <c r="K585" i="5" s="1"/>
  <c r="H586" i="5"/>
  <c r="J586" i="5"/>
  <c r="K586" i="5" s="1"/>
  <c r="H587" i="5"/>
  <c r="J587" i="5"/>
  <c r="K587" i="5" s="1"/>
  <c r="H588" i="5"/>
  <c r="J588" i="5"/>
  <c r="K588" i="5" s="1"/>
  <c r="H589" i="5"/>
  <c r="J589" i="5"/>
  <c r="K589" i="5" s="1"/>
  <c r="H590" i="5"/>
  <c r="J590" i="5"/>
  <c r="K590" i="5" s="1"/>
  <c r="H591" i="5"/>
  <c r="J591" i="5"/>
  <c r="K591" i="5" s="1"/>
  <c r="J581" i="5"/>
  <c r="K581" i="5" s="1"/>
  <c r="H581" i="5"/>
  <c r="H572" i="5"/>
  <c r="J572" i="5"/>
  <c r="K572" i="5" s="1"/>
  <c r="H573" i="5"/>
  <c r="J573" i="5"/>
  <c r="K573" i="5" s="1"/>
  <c r="H574" i="5"/>
  <c r="J574" i="5"/>
  <c r="K574" i="5" s="1"/>
  <c r="H575" i="5"/>
  <c r="J575" i="5"/>
  <c r="K575" i="5" s="1"/>
  <c r="H576" i="5"/>
  <c r="J576" i="5"/>
  <c r="K576" i="5" s="1"/>
  <c r="H577" i="5"/>
  <c r="J577" i="5"/>
  <c r="K577" i="5" s="1"/>
  <c r="H578" i="5"/>
  <c r="J578" i="5"/>
  <c r="K578" i="5" s="1"/>
  <c r="J571" i="5"/>
  <c r="K571" i="5" s="1"/>
  <c r="H571" i="5"/>
  <c r="J547" i="5"/>
  <c r="K547" i="5" s="1"/>
  <c r="J548" i="5"/>
  <c r="K548" i="5" s="1"/>
  <c r="J549" i="5"/>
  <c r="K549" i="5" s="1"/>
  <c r="J550" i="5"/>
  <c r="K550" i="5" s="1"/>
  <c r="J551" i="5"/>
  <c r="K551" i="5" s="1"/>
  <c r="J552" i="5"/>
  <c r="K552" i="5" s="1"/>
  <c r="J553" i="5"/>
  <c r="K553" i="5" s="1"/>
  <c r="J554" i="5"/>
  <c r="K554" i="5" s="1"/>
  <c r="J555" i="5"/>
  <c r="K555" i="5" s="1"/>
  <c r="J556" i="5"/>
  <c r="K556" i="5" s="1"/>
  <c r="J557" i="5"/>
  <c r="K557" i="5" s="1"/>
  <c r="J558" i="5"/>
  <c r="K558" i="5" s="1"/>
  <c r="J559" i="5"/>
  <c r="K559" i="5" s="1"/>
  <c r="J560" i="5"/>
  <c r="K560" i="5" s="1"/>
  <c r="J561" i="5"/>
  <c r="K561" i="5" s="1"/>
  <c r="J562" i="5"/>
  <c r="K562" i="5" s="1"/>
  <c r="J563" i="5"/>
  <c r="K563" i="5" s="1"/>
  <c r="J564" i="5"/>
  <c r="K564" i="5" s="1"/>
  <c r="J565" i="5"/>
  <c r="K565" i="5" s="1"/>
  <c r="J566" i="5"/>
  <c r="K566" i="5" s="1"/>
  <c r="J567" i="5"/>
  <c r="K567" i="5" s="1"/>
  <c r="J568" i="5"/>
  <c r="K568" i="5" s="1"/>
  <c r="J546" i="5"/>
  <c r="K546" i="5" s="1"/>
  <c r="H547" i="5"/>
  <c r="H548" i="5"/>
  <c r="H549" i="5"/>
  <c r="H550" i="5"/>
  <c r="H551" i="5"/>
  <c r="H552" i="5"/>
  <c r="H553" i="5"/>
  <c r="H554" i="5"/>
  <c r="H555" i="5"/>
  <c r="H556" i="5"/>
  <c r="H557" i="5"/>
  <c r="H558" i="5"/>
  <c r="H559" i="5"/>
  <c r="H560" i="5"/>
  <c r="H561" i="5"/>
  <c r="H562" i="5"/>
  <c r="H563" i="5"/>
  <c r="H564" i="5"/>
  <c r="H565" i="5"/>
  <c r="H566" i="5"/>
  <c r="H567" i="5"/>
  <c r="H568" i="5"/>
  <c r="H546" i="5"/>
  <c r="J535" i="5"/>
  <c r="K535" i="5" s="1"/>
  <c r="J536" i="5"/>
  <c r="K536" i="5" s="1"/>
  <c r="J537" i="5"/>
  <c r="K537" i="5" s="1"/>
  <c r="J538" i="5"/>
  <c r="K538" i="5" s="1"/>
  <c r="J539" i="5"/>
  <c r="K539" i="5" s="1"/>
  <c r="J540" i="5"/>
  <c r="K540" i="5" s="1"/>
  <c r="J541" i="5"/>
  <c r="K541" i="5" s="1"/>
  <c r="J542" i="5"/>
  <c r="K542" i="5" s="1"/>
  <c r="J543" i="5"/>
  <c r="K543" i="5" s="1"/>
  <c r="J534" i="5"/>
  <c r="K534" i="5" s="1"/>
  <c r="H535" i="5"/>
  <c r="H536" i="5"/>
  <c r="H537" i="5"/>
  <c r="H538" i="5"/>
  <c r="H539" i="5"/>
  <c r="H540" i="5"/>
  <c r="H541" i="5"/>
  <c r="H542" i="5"/>
  <c r="H543" i="5"/>
  <c r="H534" i="5"/>
  <c r="A12" i="33"/>
  <c r="A12" i="34"/>
  <c r="A12" i="35"/>
  <c r="A12" i="36"/>
  <c r="A12" i="40"/>
  <c r="G1192" i="33"/>
  <c r="G1191" i="33"/>
  <c r="G1159" i="33"/>
  <c r="G1158" i="33"/>
  <c r="G1129" i="33"/>
  <c r="G1128" i="33"/>
  <c r="G1099" i="33"/>
  <c r="G1098" i="33"/>
  <c r="G1069" i="33"/>
  <c r="G1068" i="33"/>
  <c r="G1039" i="33"/>
  <c r="G1038" i="33"/>
  <c r="G1009" i="33"/>
  <c r="G1008" i="33"/>
  <c r="G979" i="33"/>
  <c r="G978" i="33"/>
  <c r="G950" i="33"/>
  <c r="G949" i="33"/>
  <c r="G948" i="33"/>
  <c r="G919" i="33"/>
  <c r="G918" i="33"/>
  <c r="G917" i="33"/>
  <c r="G888" i="33"/>
  <c r="G887" i="33"/>
  <c r="G886" i="33"/>
  <c r="G856" i="33"/>
  <c r="G855" i="33"/>
  <c r="G854" i="33"/>
  <c r="G826" i="33"/>
  <c r="G825" i="33"/>
  <c r="G824" i="33"/>
  <c r="G795" i="33"/>
  <c r="G794" i="33"/>
  <c r="G793" i="33"/>
  <c r="G758" i="33"/>
  <c r="G757" i="33"/>
  <c r="G734" i="33"/>
  <c r="G733" i="33"/>
  <c r="G740" i="33"/>
  <c r="G739" i="33"/>
  <c r="G716" i="33"/>
  <c r="G715" i="33"/>
  <c r="G710" i="33"/>
  <c r="G709" i="33"/>
  <c r="G708" i="33"/>
  <c r="G691" i="33"/>
  <c r="G690" i="33"/>
  <c r="G457" i="33"/>
  <c r="G465" i="33" s="1"/>
  <c r="F442" i="33" s="1"/>
  <c r="G151" i="5" s="1"/>
  <c r="F113" i="5"/>
  <c r="F114" i="5" s="1"/>
  <c r="H114" i="5" s="1"/>
  <c r="J115" i="5"/>
  <c r="K115" i="5" s="1"/>
  <c r="H115" i="5"/>
  <c r="J80" i="5"/>
  <c r="K80" i="5" s="1"/>
  <c r="H80" i="5"/>
  <c r="F79" i="5"/>
  <c r="H79" i="5" s="1"/>
  <c r="J79" i="5"/>
  <c r="F193" i="34"/>
  <c r="F190" i="34"/>
  <c r="M190" i="34" s="1"/>
  <c r="F1118" i="33" s="1"/>
  <c r="G1118" i="33" s="1"/>
  <c r="F189" i="34"/>
  <c r="M189" i="34" s="1"/>
  <c r="F1028" i="33" s="1"/>
  <c r="G1028" i="33" s="1"/>
  <c r="F188" i="34"/>
  <c r="F187" i="34"/>
  <c r="M187" i="34" s="1"/>
  <c r="F186" i="34"/>
  <c r="F185" i="34"/>
  <c r="M185" i="34" s="1"/>
  <c r="F184" i="34"/>
  <c r="M184" i="34" s="1"/>
  <c r="F183" i="34"/>
  <c r="F182" i="34"/>
  <c r="C92" i="5"/>
  <c r="C91" i="5"/>
  <c r="C90" i="5"/>
  <c r="C89" i="5"/>
  <c r="G1153" i="33"/>
  <c r="E1152" i="33"/>
  <c r="G1152" i="33" s="1"/>
  <c r="G1151" i="33"/>
  <c r="G1150" i="33"/>
  <c r="G1149" i="33"/>
  <c r="B1118" i="33"/>
  <c r="C1118" i="33"/>
  <c r="B1088" i="33"/>
  <c r="C1088" i="33"/>
  <c r="B1058" i="33"/>
  <c r="C1058" i="33"/>
  <c r="C1148" i="33"/>
  <c r="B1148" i="33"/>
  <c r="C1143" i="33"/>
  <c r="G1147" i="33"/>
  <c r="G1146" i="33"/>
  <c r="C1113" i="33"/>
  <c r="G1123" i="33"/>
  <c r="E1122" i="33"/>
  <c r="G1122" i="33" s="1"/>
  <c r="G1121" i="33"/>
  <c r="G1120" i="33"/>
  <c r="G1119" i="33"/>
  <c r="G1117" i="33"/>
  <c r="G1116" i="33"/>
  <c r="C1083" i="33"/>
  <c r="G1093" i="33"/>
  <c r="E1092" i="33"/>
  <c r="G1092" i="33" s="1"/>
  <c r="G1091" i="33"/>
  <c r="G1090" i="33"/>
  <c r="G1089" i="33"/>
  <c r="G1087" i="33"/>
  <c r="G1086" i="33"/>
  <c r="C1053" i="33"/>
  <c r="G1063" i="33"/>
  <c r="E1062" i="33"/>
  <c r="G1062" i="33" s="1"/>
  <c r="G1061" i="33"/>
  <c r="G1060" i="33"/>
  <c r="G1059" i="33"/>
  <c r="G1057" i="33"/>
  <c r="G1056" i="33"/>
  <c r="G1185" i="33"/>
  <c r="G1183" i="33"/>
  <c r="G1177" i="33"/>
  <c r="G1217" i="33"/>
  <c r="G1209" i="33"/>
  <c r="G1249" i="33"/>
  <c r="G1281" i="33"/>
  <c r="G1346" i="33"/>
  <c r="G1344" i="33"/>
  <c r="G1343" i="33"/>
  <c r="G1342" i="33"/>
  <c r="G1341" i="33"/>
  <c r="G1340" i="33"/>
  <c r="G1338" i="33"/>
  <c r="E1407" i="33"/>
  <c r="G1407" i="33" s="1"/>
  <c r="E1406" i="33"/>
  <c r="G1406" i="33" s="1"/>
  <c r="E1405" i="33"/>
  <c r="G1405" i="33" s="1"/>
  <c r="E1404" i="33"/>
  <c r="G1404" i="33" s="1"/>
  <c r="E1403" i="33"/>
  <c r="G1403" i="33" s="1"/>
  <c r="E1402" i="33"/>
  <c r="G1409" i="33"/>
  <c r="G1401" i="33"/>
  <c r="C1408" i="33"/>
  <c r="B1408" i="33"/>
  <c r="E1279" i="33"/>
  <c r="G1279" i="33" s="1"/>
  <c r="E1278" i="33"/>
  <c r="G1278" i="33" s="1"/>
  <c r="E1277" i="33"/>
  <c r="G1277" i="33" s="1"/>
  <c r="E1276" i="33"/>
  <c r="G1276" i="33" s="1"/>
  <c r="E1275" i="33"/>
  <c r="G1275" i="33" s="1"/>
  <c r="E1274" i="33"/>
  <c r="C1280" i="33"/>
  <c r="B1280" i="33"/>
  <c r="G1273" i="33"/>
  <c r="E1311" i="33"/>
  <c r="G1311" i="33" s="1"/>
  <c r="E1310" i="33"/>
  <c r="G1310" i="33" s="1"/>
  <c r="E1309" i="33"/>
  <c r="G1309" i="33" s="1"/>
  <c r="E1308" i="33"/>
  <c r="G1308" i="33" s="1"/>
  <c r="E1307" i="33"/>
  <c r="G1307" i="33" s="1"/>
  <c r="E1306" i="33"/>
  <c r="G1305" i="33"/>
  <c r="C1312" i="33"/>
  <c r="B1312" i="33"/>
  <c r="E1376" i="33"/>
  <c r="E1375" i="33"/>
  <c r="E1374" i="33"/>
  <c r="E1373" i="33"/>
  <c r="E1372" i="33"/>
  <c r="E1371" i="33"/>
  <c r="B1441" i="33"/>
  <c r="C1441" i="33"/>
  <c r="E1440" i="33"/>
  <c r="G1440" i="33" s="1"/>
  <c r="E1439" i="33"/>
  <c r="G1439" i="33" s="1"/>
  <c r="E1438" i="33"/>
  <c r="G1438" i="33" s="1"/>
  <c r="E1437" i="33"/>
  <c r="G1437" i="33" s="1"/>
  <c r="E1436" i="33"/>
  <c r="G1436" i="33" s="1"/>
  <c r="E1435" i="33"/>
  <c r="E1215" i="33"/>
  <c r="G1215" i="33" s="1"/>
  <c r="E1214" i="33"/>
  <c r="G1214" i="33" s="1"/>
  <c r="E1213" i="33"/>
  <c r="G1213" i="33" s="1"/>
  <c r="E1212" i="33"/>
  <c r="G1212" i="33" s="1"/>
  <c r="E1211" i="33"/>
  <c r="G1211" i="33" s="1"/>
  <c r="E1210" i="33"/>
  <c r="E1246" i="33"/>
  <c r="G1246" i="33" s="1"/>
  <c r="E1245" i="33"/>
  <c r="G1245" i="33" s="1"/>
  <c r="E1244" i="33"/>
  <c r="G1244" i="33" s="1"/>
  <c r="E1243" i="33"/>
  <c r="G1243" i="33" s="1"/>
  <c r="E1247" i="33"/>
  <c r="G1247" i="33" s="1"/>
  <c r="E1242" i="33"/>
  <c r="C1248" i="33"/>
  <c r="B1248" i="33"/>
  <c r="G1241" i="33"/>
  <c r="B1377" i="33"/>
  <c r="C1377" i="33"/>
  <c r="C1216" i="33"/>
  <c r="B1216" i="33"/>
  <c r="B1184" i="33"/>
  <c r="C1184" i="33"/>
  <c r="M199" i="34"/>
  <c r="F1441" i="33"/>
  <c r="G1441" i="33" s="1"/>
  <c r="M198" i="34"/>
  <c r="F1408" i="33"/>
  <c r="G1408" i="33" s="1"/>
  <c r="M197" i="34"/>
  <c r="F1377" i="33" s="1"/>
  <c r="G1377" i="33" s="1"/>
  <c r="M196" i="34"/>
  <c r="F1345" i="33" s="1"/>
  <c r="G1345" i="33" s="1"/>
  <c r="M195" i="34"/>
  <c r="F1312" i="33" s="1"/>
  <c r="G1312" i="33" s="1"/>
  <c r="M194" i="34"/>
  <c r="F1280" i="33" s="1"/>
  <c r="G1280" i="33" s="1"/>
  <c r="E1181" i="33"/>
  <c r="E1182" i="33" s="1"/>
  <c r="G1182" i="33" s="1"/>
  <c r="E1180" i="33"/>
  <c r="G1180" i="33" s="1"/>
  <c r="E1179" i="33"/>
  <c r="G1179" i="33" s="1"/>
  <c r="B1178" i="33"/>
  <c r="C1178" i="33"/>
  <c r="G782" i="33"/>
  <c r="G813" i="33"/>
  <c r="G843" i="33"/>
  <c r="G875" i="33"/>
  <c r="G906" i="33"/>
  <c r="G937" i="33"/>
  <c r="G967" i="33"/>
  <c r="G997" i="33"/>
  <c r="G1027" i="33"/>
  <c r="E848" i="33"/>
  <c r="G848" i="33" s="1"/>
  <c r="B844" i="33"/>
  <c r="C844" i="33"/>
  <c r="G849" i="33"/>
  <c r="G847" i="33"/>
  <c r="G846" i="33"/>
  <c r="G845" i="33"/>
  <c r="G842" i="33"/>
  <c r="G841" i="33"/>
  <c r="M193" i="34"/>
  <c r="F1178" i="33" s="1"/>
  <c r="G1178" i="33" s="1"/>
  <c r="M486" i="42"/>
  <c r="M485" i="42" s="1"/>
  <c r="F174" i="5" s="1"/>
  <c r="G1026" i="33"/>
  <c r="G1029" i="33"/>
  <c r="G1030" i="33"/>
  <c r="G1031" i="33"/>
  <c r="G1033" i="33"/>
  <c r="E1032" i="33"/>
  <c r="G1032" i="33" s="1"/>
  <c r="C1028" i="33"/>
  <c r="B1028" i="33"/>
  <c r="G1003" i="33"/>
  <c r="G1001" i="33"/>
  <c r="G1000" i="33"/>
  <c r="G999" i="33"/>
  <c r="G996" i="33"/>
  <c r="E1002" i="33"/>
  <c r="G1002" i="33" s="1"/>
  <c r="C998" i="33"/>
  <c r="B998" i="33"/>
  <c r="E972" i="33"/>
  <c r="G972" i="33" s="1"/>
  <c r="G973" i="33"/>
  <c r="G971" i="33"/>
  <c r="G970" i="33"/>
  <c r="G969" i="33"/>
  <c r="G966" i="33"/>
  <c r="C968" i="33"/>
  <c r="B968" i="33"/>
  <c r="E942" i="33"/>
  <c r="G942" i="33" s="1"/>
  <c r="G935" i="33"/>
  <c r="G943" i="33"/>
  <c r="G941" i="33"/>
  <c r="G940" i="33"/>
  <c r="G939" i="33"/>
  <c r="C938" i="33"/>
  <c r="B938" i="33"/>
  <c r="G912" i="33"/>
  <c r="G910" i="33"/>
  <c r="G909" i="33"/>
  <c r="G904" i="33"/>
  <c r="G905" i="33"/>
  <c r="G908" i="33"/>
  <c r="E911" i="33"/>
  <c r="G911" i="33" s="1"/>
  <c r="C907" i="33"/>
  <c r="B907" i="33"/>
  <c r="E880" i="33"/>
  <c r="G880" i="33" s="1"/>
  <c r="G881" i="33"/>
  <c r="G879" i="33"/>
  <c r="G878" i="33"/>
  <c r="G873" i="33"/>
  <c r="G874" i="33"/>
  <c r="G877" i="33"/>
  <c r="C876" i="33"/>
  <c r="B876" i="33"/>
  <c r="E818" i="33"/>
  <c r="G818" i="33" s="1"/>
  <c r="G812" i="33"/>
  <c r="G819" i="33"/>
  <c r="G817" i="33"/>
  <c r="G816" i="33"/>
  <c r="G815" i="33"/>
  <c r="B814" i="33"/>
  <c r="C814" i="33"/>
  <c r="B788" i="33"/>
  <c r="M192" i="34"/>
  <c r="F788" i="33" s="1"/>
  <c r="G788" i="33" s="1"/>
  <c r="B787" i="33"/>
  <c r="C787" i="33"/>
  <c r="M182" i="34"/>
  <c r="F783" i="33" s="1"/>
  <c r="G783" i="33" s="1"/>
  <c r="M183" i="34"/>
  <c r="F814" i="33" s="1"/>
  <c r="G814" i="33" s="1"/>
  <c r="M186" i="34"/>
  <c r="F938" i="33" s="1"/>
  <c r="G938" i="33" s="1"/>
  <c r="M188" i="34"/>
  <c r="F998" i="33" s="1"/>
  <c r="G998" i="33" s="1"/>
  <c r="M191" i="34"/>
  <c r="F787" i="33" s="1"/>
  <c r="G787" i="33" s="1"/>
  <c r="B786" i="33"/>
  <c r="C786" i="33"/>
  <c r="B785" i="33"/>
  <c r="C785" i="33"/>
  <c r="C784" i="33"/>
  <c r="C783" i="33"/>
  <c r="B783" i="33"/>
  <c r="M181" i="34"/>
  <c r="F785" i="33" s="1"/>
  <c r="G785" i="33" s="1"/>
  <c r="M180" i="34"/>
  <c r="F786" i="33" s="1"/>
  <c r="G786" i="33" s="1"/>
  <c r="G1434" i="33"/>
  <c r="M179" i="34"/>
  <c r="F784" i="33" s="1"/>
  <c r="G784" i="33" s="1"/>
  <c r="E4735" i="33"/>
  <c r="C4735" i="33"/>
  <c r="M178" i="34"/>
  <c r="F4735" i="33" s="1"/>
  <c r="G936" i="33"/>
  <c r="G781" i="33"/>
  <c r="F32" i="42"/>
  <c r="G4736" i="33"/>
  <c r="C2231" i="33"/>
  <c r="C2208" i="33"/>
  <c r="C2185" i="33"/>
  <c r="C2162" i="33"/>
  <c r="C2139" i="33"/>
  <c r="C2116" i="33"/>
  <c r="C2093" i="33"/>
  <c r="G1962" i="33"/>
  <c r="G1963" i="33" s="1"/>
  <c r="G1961" i="33"/>
  <c r="G1939" i="33"/>
  <c r="G1938" i="33"/>
  <c r="G1916" i="33"/>
  <c r="G1915" i="33"/>
  <c r="G1893" i="33"/>
  <c r="G1892" i="33"/>
  <c r="G1870" i="33"/>
  <c r="G1869" i="33"/>
  <c r="G1801" i="33"/>
  <c r="G1800" i="33"/>
  <c r="G1778" i="33"/>
  <c r="G1777" i="33"/>
  <c r="G1651" i="33"/>
  <c r="G1652" i="33"/>
  <c r="G1658" i="33"/>
  <c r="G1657" i="33"/>
  <c r="G239" i="33"/>
  <c r="G238" i="33"/>
  <c r="C244" i="33"/>
  <c r="B244" i="33"/>
  <c r="M177" i="34"/>
  <c r="F244" i="33" s="1"/>
  <c r="G244" i="33" s="1"/>
  <c r="G246" i="33" s="1"/>
  <c r="G207" i="33"/>
  <c r="G209" i="33" s="1"/>
  <c r="G208" i="33"/>
  <c r="G214" i="33"/>
  <c r="G213" i="33"/>
  <c r="G99" i="33"/>
  <c r="G98" i="33"/>
  <c r="G76" i="33"/>
  <c r="G75" i="33"/>
  <c r="G81" i="33"/>
  <c r="G83" i="33" s="1"/>
  <c r="G36" i="33"/>
  <c r="G35" i="33"/>
  <c r="B62" i="38"/>
  <c r="J105" i="5"/>
  <c r="K105" i="5" s="1"/>
  <c r="H105" i="5"/>
  <c r="J104" i="5"/>
  <c r="K104" i="5" s="1"/>
  <c r="H104" i="5"/>
  <c r="G4814" i="33"/>
  <c r="G4786" i="33"/>
  <c r="G4759" i="33"/>
  <c r="G4760" i="33"/>
  <c r="G4787" i="33"/>
  <c r="G4819" i="33"/>
  <c r="G4818" i="33"/>
  <c r="G4817" i="33"/>
  <c r="G4816" i="33"/>
  <c r="G4791" i="33"/>
  <c r="G4790" i="33"/>
  <c r="G4789" i="33"/>
  <c r="G4788" i="33"/>
  <c r="G4764" i="33"/>
  <c r="G4763" i="33"/>
  <c r="G4762" i="33"/>
  <c r="G4761" i="33"/>
  <c r="G4713" i="33"/>
  <c r="G4712" i="33"/>
  <c r="G4688" i="33"/>
  <c r="G4687" i="33"/>
  <c r="G4663" i="33"/>
  <c r="G4662" i="33"/>
  <c r="G4638" i="33"/>
  <c r="G4637" i="33"/>
  <c r="J289" i="5"/>
  <c r="K289" i="5" s="1"/>
  <c r="H289" i="5"/>
  <c r="E4802" i="33"/>
  <c r="E4774" i="33"/>
  <c r="E4747" i="33"/>
  <c r="E4723" i="33"/>
  <c r="F309" i="5"/>
  <c r="M58" i="42"/>
  <c r="M57" i="42" s="1"/>
  <c r="M55" i="42"/>
  <c r="M54" i="42"/>
  <c r="M52" i="42"/>
  <c r="M51" i="42" s="1"/>
  <c r="M49" i="42"/>
  <c r="M48" i="42" s="1"/>
  <c r="M46" i="42"/>
  <c r="M45" i="42" s="1"/>
  <c r="M43" i="42"/>
  <c r="M42" i="42" s="1"/>
  <c r="M40" i="42"/>
  <c r="M39" i="42" s="1"/>
  <c r="E57" i="42"/>
  <c r="E54" i="42"/>
  <c r="E51" i="42"/>
  <c r="E48" i="42"/>
  <c r="E45" i="42"/>
  <c r="E42" i="42"/>
  <c r="E39" i="42"/>
  <c r="C45" i="42"/>
  <c r="C827" i="42" s="1"/>
  <c r="B45" i="42"/>
  <c r="B827" i="42" s="1"/>
  <c r="D57" i="42"/>
  <c r="D54" i="42"/>
  <c r="D48" i="42"/>
  <c r="D45" i="42"/>
  <c r="D42" i="42"/>
  <c r="D39" i="42"/>
  <c r="D38" i="42"/>
  <c r="M817" i="42"/>
  <c r="G4984" i="33"/>
  <c r="G4979" i="33"/>
  <c r="G4978" i="33"/>
  <c r="G4977" i="33"/>
  <c r="B4971" i="33"/>
  <c r="G4960" i="33"/>
  <c r="G4955" i="33"/>
  <c r="G4954" i="33"/>
  <c r="G4953" i="33"/>
  <c r="B4947" i="33"/>
  <c r="C4947" i="33" s="1"/>
  <c r="G4936" i="33"/>
  <c r="G4931" i="33"/>
  <c r="G4930" i="33"/>
  <c r="G4929" i="33"/>
  <c r="M174" i="34"/>
  <c r="F4923" i="33" s="1"/>
  <c r="M175" i="34"/>
  <c r="F4947" i="33" s="1"/>
  <c r="M176" i="34"/>
  <c r="B4923" i="33"/>
  <c r="B4899" i="33"/>
  <c r="G4906" i="33"/>
  <c r="F1216" i="33"/>
  <c r="G1216" i="33" s="1"/>
  <c r="F1184" i="33"/>
  <c r="G1184" i="33" s="1"/>
  <c r="F1248" i="33"/>
  <c r="G1248" i="33" s="1"/>
  <c r="F1242" i="33"/>
  <c r="F844" i="33"/>
  <c r="G844" i="33" s="1"/>
  <c r="G5058" i="33"/>
  <c r="G5057" i="33"/>
  <c r="G5044" i="33"/>
  <c r="G5045" i="33"/>
  <c r="G5046" i="33"/>
  <c r="G5047" i="33"/>
  <c r="G5048" i="33"/>
  <c r="G5049" i="33"/>
  <c r="G5050" i="33"/>
  <c r="G5051" i="33"/>
  <c r="M173" i="34"/>
  <c r="G3178" i="33"/>
  <c r="G3177" i="33"/>
  <c r="D3179" i="33"/>
  <c r="G3179" i="33" s="1"/>
  <c r="D51" i="42"/>
  <c r="C87" i="5"/>
  <c r="M172" i="34"/>
  <c r="F5608" i="33"/>
  <c r="G5608" i="33" s="1"/>
  <c r="G5611" i="33" s="1"/>
  <c r="G5625" i="33" s="1"/>
  <c r="F5605" i="33" s="1"/>
  <c r="G86" i="5" s="1"/>
  <c r="H86" i="5" s="1"/>
  <c r="M171" i="34"/>
  <c r="F5584" i="33" s="1"/>
  <c r="G5584" i="33" s="1"/>
  <c r="G5587" i="33" s="1"/>
  <c r="G5601" i="33" s="1"/>
  <c r="F5581" i="33" s="1"/>
  <c r="G85" i="5" s="1"/>
  <c r="C5581" i="33"/>
  <c r="B171" i="34" s="1"/>
  <c r="C5605" i="33"/>
  <c r="B172" i="34" s="1"/>
  <c r="G31" i="33"/>
  <c r="A13" i="40"/>
  <c r="B13" i="40"/>
  <c r="C13" i="40"/>
  <c r="E13" i="40"/>
  <c r="H13" i="34"/>
  <c r="E13" i="34"/>
  <c r="A13" i="34"/>
  <c r="D4747" i="33" s="1"/>
  <c r="B13" i="34"/>
  <c r="A13" i="47"/>
  <c r="C13" i="47"/>
  <c r="G13" i="47"/>
  <c r="J13" i="47"/>
  <c r="A13" i="42"/>
  <c r="C13" i="42"/>
  <c r="J13" i="42"/>
  <c r="G13" i="42"/>
  <c r="J13" i="15"/>
  <c r="C13" i="15"/>
  <c r="A13" i="15"/>
  <c r="G13" i="15"/>
  <c r="E13" i="10"/>
  <c r="C13" i="10"/>
  <c r="B13" i="10"/>
  <c r="A13" i="10"/>
  <c r="G13" i="5"/>
  <c r="F13" i="23" s="1"/>
  <c r="E13" i="5"/>
  <c r="D13" i="23" s="1"/>
  <c r="C13" i="5"/>
  <c r="B13" i="23" s="1"/>
  <c r="A13" i="5"/>
  <c r="A13" i="23" s="1"/>
  <c r="E12" i="40"/>
  <c r="C12" i="40"/>
  <c r="F12" i="36"/>
  <c r="E12" i="36"/>
  <c r="F12" i="35"/>
  <c r="E12" i="35"/>
  <c r="H12" i="34"/>
  <c r="E12" i="34"/>
  <c r="F13" i="33"/>
  <c r="D13" i="33"/>
  <c r="J12" i="47"/>
  <c r="G12" i="47"/>
  <c r="J12" i="42"/>
  <c r="G12" i="42"/>
  <c r="J12" i="15"/>
  <c r="G12" i="15"/>
  <c r="E12" i="10"/>
  <c r="C12" i="10"/>
  <c r="G12" i="5"/>
  <c r="F12" i="23" s="1"/>
  <c r="E12" i="5"/>
  <c r="B12" i="40"/>
  <c r="B12" i="36"/>
  <c r="B12" i="35"/>
  <c r="B12" i="34"/>
  <c r="B13" i="33"/>
  <c r="A13" i="33"/>
  <c r="C12" i="47"/>
  <c r="A12" i="47"/>
  <c r="C12" i="42"/>
  <c r="A12" i="42"/>
  <c r="C12" i="15"/>
  <c r="A12" i="15"/>
  <c r="B12" i="10"/>
  <c r="A12" i="10"/>
  <c r="C12" i="5"/>
  <c r="B12" i="23" s="1"/>
  <c r="A12" i="5"/>
  <c r="A12" i="23" s="1"/>
  <c r="B23" i="23"/>
  <c r="B43" i="38"/>
  <c r="B37" i="38"/>
  <c r="B36" i="38"/>
  <c r="G254" i="5"/>
  <c r="J254" i="5" s="1"/>
  <c r="K254" i="5" s="1"/>
  <c r="G3490" i="33"/>
  <c r="G3468" i="33"/>
  <c r="G3467" i="33"/>
  <c r="G3466" i="33"/>
  <c r="G3444" i="33"/>
  <c r="G3443" i="33"/>
  <c r="G3442" i="33"/>
  <c r="G3420" i="33"/>
  <c r="G3419" i="33"/>
  <c r="G3164" i="33"/>
  <c r="G3033" i="33"/>
  <c r="G3032" i="33"/>
  <c r="G3008" i="33"/>
  <c r="G3007" i="33"/>
  <c r="G2959" i="33"/>
  <c r="G2967" i="33" s="1"/>
  <c r="F2947" i="33" s="1"/>
  <c r="G259" i="5" s="1"/>
  <c r="G2935" i="33"/>
  <c r="G2943" i="33" s="1"/>
  <c r="F2923" i="33" s="1"/>
  <c r="G258" i="5" s="1"/>
  <c r="J258" i="5" s="1"/>
  <c r="K258" i="5" s="1"/>
  <c r="G2911" i="33"/>
  <c r="G2919" i="33" s="1"/>
  <c r="F2899" i="33" s="1"/>
  <c r="G257" i="5" s="1"/>
  <c r="G2887" i="33"/>
  <c r="G2895" i="33" s="1"/>
  <c r="F2875" i="33" s="1"/>
  <c r="G256" i="5" s="1"/>
  <c r="G2863" i="33"/>
  <c r="G2871" i="33" s="1"/>
  <c r="F2851" i="33" s="1"/>
  <c r="G255" i="5" s="1"/>
  <c r="G2815" i="33"/>
  <c r="G2791" i="33"/>
  <c r="G2767" i="33"/>
  <c r="G2743" i="33"/>
  <c r="G2719" i="33"/>
  <c r="G2695" i="33"/>
  <c r="G2671" i="33"/>
  <c r="G2647" i="33"/>
  <c r="G2623" i="33"/>
  <c r="G2599" i="33"/>
  <c r="G2575" i="33"/>
  <c r="G2551" i="33"/>
  <c r="G2527" i="33"/>
  <c r="G2503" i="33"/>
  <c r="G2479" i="33"/>
  <c r="G2455" i="33"/>
  <c r="G2431" i="33"/>
  <c r="G2407" i="33"/>
  <c r="G2383" i="33"/>
  <c r="G2359" i="33"/>
  <c r="G2335" i="33"/>
  <c r="G2311" i="33"/>
  <c r="G2287" i="33"/>
  <c r="G2833" i="33"/>
  <c r="G1755" i="33"/>
  <c r="G1731" i="33"/>
  <c r="G1683" i="33"/>
  <c r="G1707" i="33"/>
  <c r="B732" i="33"/>
  <c r="C348" i="33"/>
  <c r="M170" i="34"/>
  <c r="F348" i="33"/>
  <c r="G348" i="33" s="1"/>
  <c r="G350" i="33" s="1"/>
  <c r="B370" i="33"/>
  <c r="G376" i="33"/>
  <c r="G378" i="33" s="1"/>
  <c r="G354" i="33"/>
  <c r="G356" i="33" s="1"/>
  <c r="M169" i="34"/>
  <c r="F370" i="33" s="1"/>
  <c r="G370" i="33" s="1"/>
  <c r="G372" i="33" s="1"/>
  <c r="G684" i="33"/>
  <c r="G686" i="33" s="1"/>
  <c r="F103" i="5"/>
  <c r="H103" i="5" s="1"/>
  <c r="J103" i="5"/>
  <c r="H101" i="5"/>
  <c r="H100" i="5"/>
  <c r="J102" i="5"/>
  <c r="K102" i="5" s="1"/>
  <c r="J101" i="5"/>
  <c r="K101" i="5" s="1"/>
  <c r="J100" i="5"/>
  <c r="K100" i="5" s="1"/>
  <c r="J99" i="5"/>
  <c r="K99" i="5" s="1"/>
  <c r="J98" i="5"/>
  <c r="K98" i="5" s="1"/>
  <c r="J97" i="5"/>
  <c r="K97" i="5" s="1"/>
  <c r="J96" i="5"/>
  <c r="K96" i="5" s="1"/>
  <c r="J95" i="5"/>
  <c r="K95" i="5" s="1"/>
  <c r="J94" i="5"/>
  <c r="K94" i="5" s="1"/>
  <c r="J93" i="5"/>
  <c r="K93" i="5" s="1"/>
  <c r="H102" i="5"/>
  <c r="H99" i="5"/>
  <c r="H98" i="5"/>
  <c r="H97" i="5"/>
  <c r="H96" i="5"/>
  <c r="H95" i="5"/>
  <c r="H94" i="5"/>
  <c r="H93" i="5"/>
  <c r="J88" i="5"/>
  <c r="H88" i="5"/>
  <c r="J84" i="5"/>
  <c r="K84" i="5" s="1"/>
  <c r="H84" i="5"/>
  <c r="J83" i="5"/>
  <c r="K83" i="5" s="1"/>
  <c r="H83" i="5"/>
  <c r="J82" i="5"/>
  <c r="H82" i="5"/>
  <c r="H20" i="23"/>
  <c r="I20" i="23"/>
  <c r="L20" i="23"/>
  <c r="M20" i="23"/>
  <c r="J379" i="5"/>
  <c r="J380" i="5"/>
  <c r="F379" i="5"/>
  <c r="H379" i="5" s="1"/>
  <c r="F380" i="5"/>
  <c r="H380" i="5" s="1"/>
  <c r="H139" i="5"/>
  <c r="D138" i="5"/>
  <c r="J137" i="5"/>
  <c r="K137" i="5" s="1"/>
  <c r="H137" i="5"/>
  <c r="J136" i="5"/>
  <c r="K136" i="5" s="1"/>
  <c r="H136" i="5"/>
  <c r="J124" i="5"/>
  <c r="J125" i="5"/>
  <c r="K125" i="5" s="1"/>
  <c r="J126" i="5"/>
  <c r="K126" i="5" s="1"/>
  <c r="J127" i="5"/>
  <c r="K127" i="5" s="1"/>
  <c r="J129" i="5"/>
  <c r="J130" i="5"/>
  <c r="K130" i="5" s="1"/>
  <c r="J131" i="5"/>
  <c r="K131" i="5" s="1"/>
  <c r="J123" i="5"/>
  <c r="H131" i="5"/>
  <c r="H130" i="5"/>
  <c r="F129" i="5"/>
  <c r="H129" i="5" s="1"/>
  <c r="D128" i="5"/>
  <c r="F119" i="5"/>
  <c r="F120" i="5"/>
  <c r="H120" i="5" s="1"/>
  <c r="F121" i="5"/>
  <c r="H122" i="5"/>
  <c r="F124" i="5"/>
  <c r="H124" i="5" s="1"/>
  <c r="F123" i="5"/>
  <c r="H123" i="5" s="1"/>
  <c r="D23" i="23"/>
  <c r="E23" i="23"/>
  <c r="F23" i="23"/>
  <c r="G23" i="23"/>
  <c r="J23" i="23"/>
  <c r="K23" i="23"/>
  <c r="N23" i="23"/>
  <c r="C23" i="23"/>
  <c r="F114" i="34"/>
  <c r="F113" i="34"/>
  <c r="F112" i="34"/>
  <c r="I5580" i="33"/>
  <c r="F4866" i="33"/>
  <c r="D4866" i="33"/>
  <c r="G4866" i="33" s="1"/>
  <c r="C4866" i="33"/>
  <c r="F4865" i="33"/>
  <c r="G4867" i="33" s="1"/>
  <c r="D4865" i="33"/>
  <c r="G4865" i="33" s="1"/>
  <c r="C4865" i="33"/>
  <c r="F4854" i="33"/>
  <c r="D4854" i="33"/>
  <c r="G4854" i="33" s="1"/>
  <c r="C4854" i="33"/>
  <c r="E4837" i="33"/>
  <c r="G4837" i="33" s="1"/>
  <c r="E4836" i="33"/>
  <c r="G4836" i="33" s="1"/>
  <c r="F4843" i="33"/>
  <c r="D4843" i="33"/>
  <c r="G4843" i="33" s="1"/>
  <c r="C4843" i="33"/>
  <c r="F4842" i="33"/>
  <c r="G4844" i="33" s="1"/>
  <c r="D4842" i="33"/>
  <c r="G4842" i="33" s="1"/>
  <c r="C4842" i="33"/>
  <c r="F4831" i="33"/>
  <c r="D4831" i="33"/>
  <c r="G4831" i="33" s="1"/>
  <c r="C4831" i="33"/>
  <c r="E4754" i="33"/>
  <c r="G4754" i="33" s="1"/>
  <c r="E4753" i="33"/>
  <c r="E4781" i="33"/>
  <c r="G4781" i="33" s="1"/>
  <c r="E4780" i="33"/>
  <c r="G4780" i="33" s="1"/>
  <c r="E4809" i="33"/>
  <c r="G4809" i="33" s="1"/>
  <c r="E4808" i="33"/>
  <c r="G4808" i="33" s="1"/>
  <c r="F4748" i="33"/>
  <c r="D4748" i="33"/>
  <c r="G4748" i="33" s="1"/>
  <c r="C4748" i="33"/>
  <c r="F4737" i="33"/>
  <c r="D4737" i="33"/>
  <c r="G4737" i="33" s="1"/>
  <c r="C4737" i="33"/>
  <c r="F4724" i="33"/>
  <c r="D4724" i="33"/>
  <c r="G4724" i="33" s="1"/>
  <c r="C4724" i="33"/>
  <c r="G4711" i="33"/>
  <c r="G4699" i="33"/>
  <c r="G4686" i="33"/>
  <c r="G4674" i="33"/>
  <c r="G4661" i="33"/>
  <c r="G4660" i="33"/>
  <c r="G4649" i="33"/>
  <c r="G4636" i="33"/>
  <c r="G4635" i="33"/>
  <c r="G4624" i="33"/>
  <c r="F4613" i="33"/>
  <c r="D4613" i="33"/>
  <c r="G4613" i="33" s="1"/>
  <c r="C4613" i="33"/>
  <c r="F4612" i="33"/>
  <c r="G4614" i="33" s="1"/>
  <c r="D4612" i="33"/>
  <c r="G4612" i="33" s="1"/>
  <c r="C4612" i="33"/>
  <c r="F4601" i="33"/>
  <c r="D4601" i="33"/>
  <c r="G4601" i="33" s="1"/>
  <c r="C4601" i="33"/>
  <c r="F4590" i="33"/>
  <c r="D4590" i="33"/>
  <c r="G4590" i="33" s="1"/>
  <c r="C4590" i="33"/>
  <c r="F4589" i="33"/>
  <c r="G4591" i="33" s="1"/>
  <c r="D4589" i="33"/>
  <c r="G4589" i="33" s="1"/>
  <c r="C4589" i="33"/>
  <c r="F4577" i="33"/>
  <c r="D4577" i="33"/>
  <c r="G4577" i="33" s="1"/>
  <c r="C4577" i="33"/>
  <c r="F4544" i="33"/>
  <c r="D4544" i="33"/>
  <c r="G4544" i="33" s="1"/>
  <c r="C4544" i="33"/>
  <c r="F4543" i="33"/>
  <c r="G4545" i="33" s="1"/>
  <c r="D4543" i="33"/>
  <c r="G4543" i="33" s="1"/>
  <c r="C4543" i="33"/>
  <c r="F4532" i="33"/>
  <c r="D4532" i="33"/>
  <c r="G4532" i="33" s="1"/>
  <c r="C4532" i="33"/>
  <c r="F4500" i="33"/>
  <c r="D4500" i="33"/>
  <c r="G4500" i="33" s="1"/>
  <c r="C4500" i="33"/>
  <c r="F4499" i="33"/>
  <c r="G4501" i="33" s="1"/>
  <c r="D4499" i="33"/>
  <c r="G4499" i="33" s="1"/>
  <c r="C4499" i="33"/>
  <c r="F4488" i="33"/>
  <c r="D4488" i="33"/>
  <c r="G4488" i="33" s="1"/>
  <c r="C4488" i="33"/>
  <c r="F4456" i="33"/>
  <c r="D4456" i="33"/>
  <c r="G4456" i="33" s="1"/>
  <c r="C4456" i="33"/>
  <c r="F4455" i="33"/>
  <c r="G4457" i="33" s="1"/>
  <c r="D4455" i="33"/>
  <c r="G4455" i="33" s="1"/>
  <c r="C4455" i="33"/>
  <c r="F4444" i="33"/>
  <c r="D4444" i="33"/>
  <c r="G4444" i="33" s="1"/>
  <c r="C4444" i="33"/>
  <c r="F4411" i="33"/>
  <c r="D4411" i="33"/>
  <c r="G4411" i="33" s="1"/>
  <c r="C4411" i="33"/>
  <c r="F4410" i="33"/>
  <c r="G4412" i="33" s="1"/>
  <c r="D4410" i="33"/>
  <c r="G4410" i="33" s="1"/>
  <c r="C4410" i="33"/>
  <c r="F4399" i="33"/>
  <c r="D4399" i="33"/>
  <c r="G4399" i="33" s="1"/>
  <c r="C4399" i="33"/>
  <c r="F4366" i="33"/>
  <c r="D4366" i="33"/>
  <c r="G4366" i="33" s="1"/>
  <c r="C4366" i="33"/>
  <c r="F4365" i="33"/>
  <c r="G4367" i="33" s="1"/>
  <c r="D4365" i="33"/>
  <c r="G4365" i="33" s="1"/>
  <c r="C4365" i="33"/>
  <c r="F4354" i="33"/>
  <c r="D4354" i="33"/>
  <c r="G4354" i="33" s="1"/>
  <c r="C4354" i="33"/>
  <c r="F4321" i="33"/>
  <c r="D4321" i="33"/>
  <c r="G4321" i="33" s="1"/>
  <c r="C4321" i="33"/>
  <c r="F4320" i="33"/>
  <c r="G4322" i="33" s="1"/>
  <c r="D4320" i="33"/>
  <c r="G4320" i="33" s="1"/>
  <c r="C4320" i="33"/>
  <c r="F4309" i="33"/>
  <c r="D4309" i="33"/>
  <c r="G4309" i="33" s="1"/>
  <c r="C4309" i="33"/>
  <c r="F4277" i="33"/>
  <c r="D4277" i="33"/>
  <c r="G4277" i="33" s="1"/>
  <c r="C4277" i="33"/>
  <c r="F4276" i="33"/>
  <c r="G4278" i="33" s="1"/>
  <c r="D4276" i="33"/>
  <c r="G4276" i="33" s="1"/>
  <c r="C4276" i="33"/>
  <c r="F4265" i="33"/>
  <c r="D4265" i="33"/>
  <c r="G4265" i="33" s="1"/>
  <c r="C4265" i="33"/>
  <c r="F4232" i="33"/>
  <c r="D4232" i="33"/>
  <c r="G4232" i="33" s="1"/>
  <c r="C4232" i="33"/>
  <c r="F4231" i="33"/>
  <c r="G4233" i="33" s="1"/>
  <c r="D4231" i="33"/>
  <c r="G4231" i="33" s="1"/>
  <c r="C4231" i="33"/>
  <c r="F4220" i="33"/>
  <c r="D4220" i="33"/>
  <c r="G4220" i="33" s="1"/>
  <c r="C4220" i="33"/>
  <c r="F4187" i="33"/>
  <c r="D4187" i="33"/>
  <c r="G4187" i="33" s="1"/>
  <c r="C4187" i="33"/>
  <c r="F4186" i="33"/>
  <c r="G4188" i="33" s="1"/>
  <c r="D4186" i="33"/>
  <c r="G4186" i="33" s="1"/>
  <c r="C4186" i="33"/>
  <c r="F4175" i="33"/>
  <c r="D4175" i="33"/>
  <c r="G4175" i="33" s="1"/>
  <c r="C4175" i="33"/>
  <c r="F4142" i="33"/>
  <c r="D4142" i="33"/>
  <c r="G4142" i="33" s="1"/>
  <c r="C4142" i="33"/>
  <c r="F4141" i="33"/>
  <c r="G4143" i="33" s="1"/>
  <c r="D4141" i="33"/>
  <c r="G4141" i="33" s="1"/>
  <c r="C4141" i="33"/>
  <c r="F4130" i="33"/>
  <c r="D4130" i="33"/>
  <c r="G4130" i="33" s="1"/>
  <c r="C4130" i="33"/>
  <c r="F4096" i="33"/>
  <c r="D4096" i="33"/>
  <c r="G4096" i="33" s="1"/>
  <c r="C4096" i="33"/>
  <c r="F4095" i="33"/>
  <c r="G4097" i="33" s="1"/>
  <c r="D4095" i="33"/>
  <c r="G4095" i="33" s="1"/>
  <c r="C4095" i="33"/>
  <c r="F4084" i="33"/>
  <c r="D4084" i="33"/>
  <c r="G4084" i="33" s="1"/>
  <c r="C4084" i="33"/>
  <c r="F4052" i="33"/>
  <c r="D4052" i="33"/>
  <c r="G4052" i="33" s="1"/>
  <c r="C4052" i="33"/>
  <c r="F4051" i="33"/>
  <c r="G4053" i="33" s="1"/>
  <c r="D4051" i="33"/>
  <c r="G4051" i="33" s="1"/>
  <c r="C4051" i="33"/>
  <c r="F4040" i="33"/>
  <c r="D4040" i="33"/>
  <c r="G4040" i="33" s="1"/>
  <c r="C4040" i="33"/>
  <c r="F4007" i="33"/>
  <c r="D4007" i="33"/>
  <c r="G4007" i="33" s="1"/>
  <c r="C4007" i="33"/>
  <c r="F4006" i="33"/>
  <c r="G4008" i="33" s="1"/>
  <c r="D4006" i="33"/>
  <c r="G4006" i="33" s="1"/>
  <c r="C4006" i="33"/>
  <c r="F3995" i="33"/>
  <c r="D3995" i="33"/>
  <c r="G3995" i="33" s="1"/>
  <c r="C3995" i="33"/>
  <c r="F3961" i="33"/>
  <c r="D3961" i="33"/>
  <c r="G3961" i="33" s="1"/>
  <c r="C3961" i="33"/>
  <c r="F3960" i="33"/>
  <c r="G3962" i="33" s="1"/>
  <c r="D3960" i="33"/>
  <c r="G3960" i="33" s="1"/>
  <c r="C3960" i="33"/>
  <c r="F3949" i="33"/>
  <c r="D3949" i="33"/>
  <c r="G3949" i="33" s="1"/>
  <c r="C3949" i="33"/>
  <c r="E3932" i="33"/>
  <c r="G3932" i="33" s="1"/>
  <c r="E3931" i="33"/>
  <c r="G3931" i="33" s="1"/>
  <c r="F3938" i="33"/>
  <c r="D3938" i="33"/>
  <c r="G3938" i="33" s="1"/>
  <c r="C3938" i="33"/>
  <c r="F3937" i="33"/>
  <c r="G3939" i="33" s="1"/>
  <c r="D3937" i="33"/>
  <c r="G3937" i="33" s="1"/>
  <c r="C3937" i="33"/>
  <c r="F3926" i="33"/>
  <c r="D3926" i="33"/>
  <c r="G3926" i="33" s="1"/>
  <c r="C3926" i="33"/>
  <c r="E3909" i="33"/>
  <c r="G3909" i="33" s="1"/>
  <c r="E3908" i="33"/>
  <c r="G3908" i="33" s="1"/>
  <c r="F3915" i="33"/>
  <c r="D3915" i="33"/>
  <c r="G3915" i="33" s="1"/>
  <c r="C3915" i="33"/>
  <c r="F3914" i="33"/>
  <c r="G3916" i="33" s="1"/>
  <c r="D3914" i="33"/>
  <c r="G3914" i="33" s="1"/>
  <c r="C3914" i="33"/>
  <c r="F3903" i="33"/>
  <c r="D3903" i="33"/>
  <c r="G3903" i="33" s="1"/>
  <c r="C3903" i="33"/>
  <c r="E3886" i="33"/>
  <c r="G3886" i="33" s="1"/>
  <c r="E3885" i="33"/>
  <c r="G3885" i="33" s="1"/>
  <c r="F3892" i="33"/>
  <c r="D3892" i="33"/>
  <c r="G3892" i="33" s="1"/>
  <c r="C3892" i="33"/>
  <c r="F3891" i="33"/>
  <c r="G3893" i="33" s="1"/>
  <c r="D3891" i="33"/>
  <c r="G3891" i="33" s="1"/>
  <c r="C3891" i="33"/>
  <c r="F3880" i="33"/>
  <c r="D3880" i="33"/>
  <c r="G3880" i="33" s="1"/>
  <c r="C3880" i="33"/>
  <c r="F3869" i="33"/>
  <c r="D3869" i="33"/>
  <c r="G3869" i="33" s="1"/>
  <c r="C3869" i="33"/>
  <c r="F3868" i="33"/>
  <c r="G3870" i="33" s="1"/>
  <c r="D3868" i="33"/>
  <c r="G3868" i="33" s="1"/>
  <c r="C3868" i="33"/>
  <c r="F3857" i="33"/>
  <c r="D3857" i="33"/>
  <c r="G3857" i="33" s="1"/>
  <c r="C3857" i="33"/>
  <c r="F3846" i="33"/>
  <c r="D3846" i="33"/>
  <c r="G3846" i="33" s="1"/>
  <c r="C3846" i="33"/>
  <c r="F3845" i="33"/>
  <c r="G3847" i="33" s="1"/>
  <c r="D3845" i="33"/>
  <c r="G3845" i="33" s="1"/>
  <c r="C3845" i="33"/>
  <c r="F3834" i="33"/>
  <c r="D3834" i="33"/>
  <c r="G3834" i="33" s="1"/>
  <c r="C3834" i="33"/>
  <c r="F3823" i="33"/>
  <c r="D3823" i="33"/>
  <c r="G3823" i="33" s="1"/>
  <c r="C3823" i="33"/>
  <c r="F3822" i="33"/>
  <c r="G3824" i="33" s="1"/>
  <c r="D3822" i="33"/>
  <c r="G3822" i="33" s="1"/>
  <c r="C3822" i="33"/>
  <c r="F3811" i="33"/>
  <c r="D3811" i="33"/>
  <c r="G3811" i="33" s="1"/>
  <c r="C3811" i="33"/>
  <c r="F3800" i="33"/>
  <c r="D3800" i="33"/>
  <c r="G3800" i="33" s="1"/>
  <c r="C3800" i="33"/>
  <c r="F3799" i="33"/>
  <c r="G3801" i="33" s="1"/>
  <c r="D3799" i="33"/>
  <c r="G3799" i="33" s="1"/>
  <c r="C3799" i="33"/>
  <c r="F3788" i="33"/>
  <c r="D3788" i="33"/>
  <c r="G3788" i="33" s="1"/>
  <c r="C3788" i="33"/>
  <c r="E3725" i="33"/>
  <c r="G3725" i="33" s="1"/>
  <c r="E3702" i="33"/>
  <c r="G3702" i="33" s="1"/>
  <c r="E3701" i="33"/>
  <c r="G3701" i="33" s="1"/>
  <c r="E3724" i="33"/>
  <c r="G3724" i="33" s="1"/>
  <c r="E3748" i="33"/>
  <c r="E3747" i="33"/>
  <c r="G3747" i="33" s="1"/>
  <c r="E3771" i="33"/>
  <c r="G3771" i="33" s="1"/>
  <c r="E3770" i="33"/>
  <c r="G3770" i="33" s="1"/>
  <c r="F3777" i="33"/>
  <c r="D3777" i="33"/>
  <c r="G3777" i="33" s="1"/>
  <c r="C3777" i="33"/>
  <c r="F3776" i="33"/>
  <c r="G3778" i="33" s="1"/>
  <c r="D3776" i="33"/>
  <c r="G3776" i="33" s="1"/>
  <c r="C3776" i="33"/>
  <c r="F3765" i="33"/>
  <c r="D3765" i="33"/>
  <c r="G3765" i="33" s="1"/>
  <c r="C3765" i="33"/>
  <c r="F3754" i="33"/>
  <c r="D3754" i="33"/>
  <c r="G3754" i="33" s="1"/>
  <c r="C3754" i="33"/>
  <c r="F3753" i="33"/>
  <c r="G3755" i="33" s="1"/>
  <c r="D3753" i="33"/>
  <c r="G3753" i="33" s="1"/>
  <c r="C3753" i="33"/>
  <c r="F3742" i="33"/>
  <c r="D3742" i="33"/>
  <c r="G3742" i="33" s="1"/>
  <c r="C3742" i="33"/>
  <c r="F3731" i="33"/>
  <c r="D3731" i="33"/>
  <c r="G3731" i="33" s="1"/>
  <c r="C3731" i="33"/>
  <c r="F3730" i="33"/>
  <c r="G3732" i="33" s="1"/>
  <c r="D3730" i="33"/>
  <c r="G3730" i="33" s="1"/>
  <c r="C3730" i="33"/>
  <c r="F3719" i="33"/>
  <c r="D3719" i="33"/>
  <c r="G3719" i="33" s="1"/>
  <c r="C3719" i="33"/>
  <c r="F3708" i="33"/>
  <c r="D3708" i="33"/>
  <c r="G3708" i="33" s="1"/>
  <c r="C3708" i="33"/>
  <c r="F3707" i="33"/>
  <c r="G3709" i="33" s="1"/>
  <c r="D3707" i="33"/>
  <c r="G3707" i="33" s="1"/>
  <c r="C3707" i="33"/>
  <c r="F3696" i="33"/>
  <c r="D3696" i="33"/>
  <c r="G3696" i="33" s="1"/>
  <c r="C3696" i="33"/>
  <c r="E3654" i="33"/>
  <c r="G3654" i="33" s="1"/>
  <c r="E3653" i="33"/>
  <c r="G3653" i="33" s="1"/>
  <c r="E3652" i="33"/>
  <c r="G3652" i="33" s="1"/>
  <c r="E3678" i="33"/>
  <c r="G3678" i="33" s="1"/>
  <c r="E3679" i="33"/>
  <c r="G3679" i="33" s="1"/>
  <c r="E3677" i="33"/>
  <c r="G3677" i="33" s="1"/>
  <c r="E3560" i="33"/>
  <c r="G3560" i="33" s="1"/>
  <c r="E3559" i="33"/>
  <c r="G3559" i="33" s="1"/>
  <c r="E3583" i="33"/>
  <c r="G3583" i="33" s="1"/>
  <c r="E3582" i="33"/>
  <c r="G3582" i="33" s="1"/>
  <c r="E3629" i="33"/>
  <c r="G3629" i="33" s="1"/>
  <c r="E3628" i="33"/>
  <c r="G3628" i="33" s="1"/>
  <c r="E3651" i="33"/>
  <c r="G3651" i="33" s="1"/>
  <c r="E3676" i="33"/>
  <c r="G3676" i="33" s="1"/>
  <c r="E3606" i="33"/>
  <c r="G3606" i="33" s="1"/>
  <c r="E3605" i="33"/>
  <c r="G3605" i="33" s="1"/>
  <c r="F3685" i="33"/>
  <c r="D3685" i="33"/>
  <c r="G3685" i="33" s="1"/>
  <c r="C3685" i="33"/>
  <c r="F3684" i="33"/>
  <c r="G3686" i="33" s="1"/>
  <c r="D3684" i="33"/>
  <c r="G3684" i="33" s="1"/>
  <c r="C3684" i="33"/>
  <c r="F3671" i="33"/>
  <c r="D3671" i="33"/>
  <c r="G3671" i="33" s="1"/>
  <c r="C3671" i="33"/>
  <c r="F3660" i="33"/>
  <c r="D3660" i="33"/>
  <c r="G3660" i="33" s="1"/>
  <c r="C3660" i="33"/>
  <c r="F3659" i="33"/>
  <c r="G3661" i="33" s="1"/>
  <c r="D3659" i="33"/>
  <c r="G3659" i="33" s="1"/>
  <c r="C3659" i="33"/>
  <c r="F3646" i="33"/>
  <c r="D3646" i="33"/>
  <c r="G3646" i="33" s="1"/>
  <c r="C3646" i="33"/>
  <c r="F3635" i="33"/>
  <c r="D3635" i="33"/>
  <c r="G3635" i="33" s="1"/>
  <c r="C3635" i="33"/>
  <c r="F3634" i="33"/>
  <c r="G3636" i="33" s="1"/>
  <c r="D3634" i="33"/>
  <c r="G3634" i="33" s="1"/>
  <c r="C3634" i="33"/>
  <c r="F3623" i="33"/>
  <c r="D3623" i="33"/>
  <c r="G3623" i="33" s="1"/>
  <c r="C3623" i="33"/>
  <c r="F3612" i="33"/>
  <c r="D3612" i="33"/>
  <c r="G3612" i="33" s="1"/>
  <c r="C3612" i="33"/>
  <c r="F3611" i="33"/>
  <c r="G3613" i="33" s="1"/>
  <c r="D3611" i="33"/>
  <c r="G3611" i="33" s="1"/>
  <c r="C3611" i="33"/>
  <c r="F3600" i="33"/>
  <c r="D3600" i="33"/>
  <c r="G3600" i="33" s="1"/>
  <c r="C3600" i="33"/>
  <c r="F3589" i="33"/>
  <c r="D3589" i="33"/>
  <c r="G3589" i="33" s="1"/>
  <c r="C3589" i="33"/>
  <c r="F3588" i="33"/>
  <c r="G3590" i="33" s="1"/>
  <c r="D3588" i="33"/>
  <c r="G3588" i="33" s="1"/>
  <c r="C3588" i="33"/>
  <c r="F3577" i="33"/>
  <c r="D3577" i="33"/>
  <c r="G3577" i="33" s="1"/>
  <c r="C3577" i="33"/>
  <c r="F3566" i="33"/>
  <c r="D3566" i="33"/>
  <c r="G3566" i="33" s="1"/>
  <c r="C3566" i="33"/>
  <c r="F3565" i="33"/>
  <c r="G3567" i="33" s="1"/>
  <c r="D3565" i="33"/>
  <c r="G3565" i="33" s="1"/>
  <c r="C3565" i="33"/>
  <c r="F3554" i="33"/>
  <c r="D3554" i="33"/>
  <c r="G3554" i="33" s="1"/>
  <c r="C3554" i="33"/>
  <c r="F3543" i="33"/>
  <c r="D3543" i="33"/>
  <c r="G3543" i="33" s="1"/>
  <c r="C3543" i="33"/>
  <c r="F3542" i="33"/>
  <c r="G3544" i="33" s="1"/>
  <c r="D3542" i="33"/>
  <c r="G3542" i="33" s="1"/>
  <c r="C3542" i="33"/>
  <c r="F3531" i="33"/>
  <c r="D3531" i="33"/>
  <c r="G3531" i="33" s="1"/>
  <c r="C3531" i="33"/>
  <c r="F3520" i="33"/>
  <c r="D3520" i="33"/>
  <c r="G3520" i="33" s="1"/>
  <c r="C3520" i="33"/>
  <c r="F3519" i="33"/>
  <c r="G3521" i="33" s="1"/>
  <c r="D3519" i="33"/>
  <c r="G3519" i="33" s="1"/>
  <c r="C3519" i="33"/>
  <c r="F3508" i="33"/>
  <c r="D3508" i="33"/>
  <c r="G3508" i="33" s="1"/>
  <c r="C3508" i="33"/>
  <c r="F3497" i="33"/>
  <c r="D3497" i="33"/>
  <c r="G3497" i="33" s="1"/>
  <c r="C3497" i="33"/>
  <c r="F3496" i="33"/>
  <c r="G3498" i="33" s="1"/>
  <c r="D3496" i="33"/>
  <c r="G3496" i="33" s="1"/>
  <c r="C3496" i="33"/>
  <c r="F3485" i="33"/>
  <c r="D3485" i="33"/>
  <c r="G3485" i="33" s="1"/>
  <c r="C3485" i="33"/>
  <c r="F3474" i="33"/>
  <c r="D3474" i="33"/>
  <c r="G3474" i="33" s="1"/>
  <c r="C3474" i="33"/>
  <c r="F3473" i="33"/>
  <c r="G3475" i="33" s="1"/>
  <c r="D3473" i="33"/>
  <c r="G3473" i="33" s="1"/>
  <c r="C3473" i="33"/>
  <c r="F3461" i="33"/>
  <c r="D3461" i="33"/>
  <c r="G3461" i="33" s="1"/>
  <c r="C3461" i="33"/>
  <c r="F3450" i="33"/>
  <c r="D3450" i="33"/>
  <c r="G3450" i="33" s="1"/>
  <c r="C3450" i="33"/>
  <c r="F3449" i="33"/>
  <c r="G3451" i="33" s="1"/>
  <c r="D3449" i="33"/>
  <c r="G3449" i="33" s="1"/>
  <c r="C3449" i="33"/>
  <c r="F3437" i="33"/>
  <c r="D3437" i="33"/>
  <c r="G3437" i="33" s="1"/>
  <c r="C3437" i="33"/>
  <c r="F3426" i="33"/>
  <c r="D3426" i="33"/>
  <c r="G3426" i="33" s="1"/>
  <c r="C3426" i="33"/>
  <c r="F3425" i="33"/>
  <c r="G3427" i="33" s="1"/>
  <c r="D3425" i="33"/>
  <c r="G3425" i="33" s="1"/>
  <c r="C3425" i="33"/>
  <c r="F3413" i="33"/>
  <c r="D3413" i="33"/>
  <c r="G3413" i="33" s="1"/>
  <c r="C3413" i="33"/>
  <c r="C3264" i="33"/>
  <c r="D3264" i="33"/>
  <c r="G3264" i="33" s="1"/>
  <c r="F3264" i="33"/>
  <c r="G3266" i="33" s="1"/>
  <c r="F3373" i="33"/>
  <c r="D3373" i="33"/>
  <c r="G3373" i="33" s="1"/>
  <c r="C3373" i="33"/>
  <c r="F3372" i="33"/>
  <c r="G3374" i="33" s="1"/>
  <c r="D3372" i="33"/>
  <c r="G3372" i="33" s="1"/>
  <c r="C3372" i="33"/>
  <c r="F3319" i="33"/>
  <c r="D3319" i="33"/>
  <c r="G3319" i="33" s="1"/>
  <c r="C3319" i="33"/>
  <c r="F3318" i="33"/>
  <c r="G3320" i="33" s="1"/>
  <c r="D3318" i="33"/>
  <c r="G3318" i="33" s="1"/>
  <c r="C3318" i="33"/>
  <c r="F3265" i="33"/>
  <c r="D3265" i="33"/>
  <c r="G3265" i="33" s="1"/>
  <c r="C3265" i="33"/>
  <c r="F3207" i="33"/>
  <c r="D3207" i="33"/>
  <c r="G3207" i="33" s="1"/>
  <c r="C3207" i="33"/>
  <c r="F3206" i="33"/>
  <c r="G3208" i="33" s="1"/>
  <c r="D3206" i="33"/>
  <c r="G3206" i="33" s="1"/>
  <c r="C3206" i="33"/>
  <c r="E3056" i="33"/>
  <c r="G3056" i="33" s="1"/>
  <c r="E3055" i="33"/>
  <c r="G3055" i="33" s="1"/>
  <c r="E3050" i="33"/>
  <c r="G3050" i="33" s="1"/>
  <c r="E3079" i="33"/>
  <c r="G3079" i="33" s="1"/>
  <c r="E3078" i="33"/>
  <c r="G3078" i="33" s="1"/>
  <c r="E3073" i="33"/>
  <c r="G3073" i="33" s="1"/>
  <c r="E3102" i="33"/>
  <c r="G3102" i="33" s="1"/>
  <c r="E3101" i="33"/>
  <c r="G3101" i="33" s="1"/>
  <c r="E3125" i="33"/>
  <c r="G3125" i="33" s="1"/>
  <c r="E3124" i="33"/>
  <c r="G3124" i="33" s="1"/>
  <c r="E3148" i="33"/>
  <c r="G3148" i="33" s="1"/>
  <c r="E3147" i="33"/>
  <c r="G3147" i="33" s="1"/>
  <c r="M168" i="34"/>
  <c r="E3171" i="33"/>
  <c r="G3171" i="33" s="1"/>
  <c r="E3170" i="33"/>
  <c r="G3170" i="33" s="1"/>
  <c r="F3179" i="33"/>
  <c r="C3179" i="33"/>
  <c r="G3176" i="33"/>
  <c r="F3165" i="33"/>
  <c r="D3165" i="33"/>
  <c r="G3165" i="33" s="1"/>
  <c r="G3166" i="33" s="1"/>
  <c r="C3165" i="33"/>
  <c r="F3154" i="33"/>
  <c r="D3154" i="33"/>
  <c r="G3154" i="33" s="1"/>
  <c r="C3154" i="33"/>
  <c r="F3153" i="33"/>
  <c r="G3155" i="33" s="1"/>
  <c r="D3153" i="33"/>
  <c r="G3153" i="33" s="1"/>
  <c r="C3153" i="33"/>
  <c r="F3142" i="33"/>
  <c r="D3142" i="33"/>
  <c r="G3142" i="33" s="1"/>
  <c r="C3142" i="33"/>
  <c r="F3131" i="33"/>
  <c r="D3131" i="33"/>
  <c r="G3131" i="33" s="1"/>
  <c r="C3131" i="33"/>
  <c r="F3130" i="33"/>
  <c r="G3132" i="33" s="1"/>
  <c r="D3130" i="33"/>
  <c r="G3130" i="33" s="1"/>
  <c r="C3130" i="33"/>
  <c r="F3119" i="33"/>
  <c r="D3119" i="33"/>
  <c r="G3119" i="33" s="1"/>
  <c r="C3119" i="33"/>
  <c r="F3108" i="33"/>
  <c r="D3108" i="33"/>
  <c r="G3108" i="33" s="1"/>
  <c r="C3108" i="33"/>
  <c r="F3107" i="33"/>
  <c r="G3109" i="33" s="1"/>
  <c r="D3107" i="33"/>
  <c r="G3107" i="33" s="1"/>
  <c r="C3107" i="33"/>
  <c r="F3096" i="33"/>
  <c r="D3096" i="33"/>
  <c r="G3096" i="33" s="1"/>
  <c r="C3096" i="33"/>
  <c r="F3085" i="33"/>
  <c r="D3085" i="33"/>
  <c r="G3085" i="33" s="1"/>
  <c r="C3085" i="33"/>
  <c r="F3084" i="33"/>
  <c r="G3086" i="33" s="1"/>
  <c r="D3084" i="33"/>
  <c r="G3084" i="33" s="1"/>
  <c r="C3084" i="33"/>
  <c r="F3062" i="33"/>
  <c r="D3062" i="33"/>
  <c r="G3062" i="33" s="1"/>
  <c r="C3062" i="33"/>
  <c r="F3061" i="33"/>
  <c r="G3063" i="33" s="1"/>
  <c r="D3061" i="33"/>
  <c r="G3061" i="33" s="1"/>
  <c r="C3061" i="33"/>
  <c r="E3006" i="33"/>
  <c r="G3006" i="33" s="1"/>
  <c r="E3005" i="33"/>
  <c r="G3005" i="33" s="1"/>
  <c r="G3000" i="33"/>
  <c r="F3000" i="33"/>
  <c r="E3031" i="33"/>
  <c r="G3031" i="33" s="1"/>
  <c r="E3030" i="33"/>
  <c r="G3030" i="33" s="1"/>
  <c r="F3039" i="33"/>
  <c r="D3039" i="33"/>
  <c r="G3039" i="33" s="1"/>
  <c r="C3039" i="33"/>
  <c r="F3038" i="33"/>
  <c r="G3040" i="33" s="1"/>
  <c r="D3038" i="33"/>
  <c r="G3038" i="33" s="1"/>
  <c r="C3038" i="33"/>
  <c r="F3025" i="33"/>
  <c r="D3025" i="33"/>
  <c r="G3025" i="33" s="1"/>
  <c r="C3025" i="33"/>
  <c r="F3014" i="33"/>
  <c r="D3014" i="33"/>
  <c r="G3014" i="33" s="1"/>
  <c r="C3014" i="33"/>
  <c r="F3013" i="33"/>
  <c r="G3015" i="33" s="1"/>
  <c r="D3013" i="33"/>
  <c r="G3013" i="33" s="1"/>
  <c r="C3013" i="33"/>
  <c r="G4815" i="33"/>
  <c r="F4803" i="33"/>
  <c r="D4803" i="33"/>
  <c r="G4803" i="33" s="1"/>
  <c r="C4803" i="33"/>
  <c r="F4775" i="33"/>
  <c r="D4775" i="33"/>
  <c r="G4775" i="33" s="1"/>
  <c r="C4775" i="33"/>
  <c r="E5497" i="33"/>
  <c r="G5497" i="33" s="1"/>
  <c r="E5496" i="33"/>
  <c r="G5496" i="33" s="1"/>
  <c r="E5474" i="33"/>
  <c r="G5474" i="33" s="1"/>
  <c r="E5473" i="33"/>
  <c r="G5473" i="33" s="1"/>
  <c r="E5468" i="33"/>
  <c r="G5468" i="33" s="1"/>
  <c r="E5451" i="33"/>
  <c r="G5451" i="33" s="1"/>
  <c r="E5450" i="33"/>
  <c r="G5450" i="33" s="1"/>
  <c r="E5445" i="33"/>
  <c r="G5445" i="33" s="1"/>
  <c r="F5503" i="33"/>
  <c r="D5503" i="33"/>
  <c r="G5503" i="33" s="1"/>
  <c r="C5503" i="33"/>
  <c r="F5502" i="33"/>
  <c r="G5504" i="33" s="1"/>
  <c r="D5502" i="33"/>
  <c r="G5502" i="33" s="1"/>
  <c r="C5502" i="33"/>
  <c r="F5491" i="33"/>
  <c r="D5491" i="33"/>
  <c r="G5491" i="33" s="1"/>
  <c r="C5491" i="33"/>
  <c r="F5480" i="33"/>
  <c r="D5480" i="33"/>
  <c r="G5480" i="33" s="1"/>
  <c r="C5480" i="33"/>
  <c r="F5479" i="33"/>
  <c r="G5481" i="33" s="1"/>
  <c r="D5479" i="33"/>
  <c r="G5479" i="33" s="1"/>
  <c r="C5479" i="33"/>
  <c r="F5457" i="33"/>
  <c r="D5457" i="33"/>
  <c r="G5457" i="33" s="1"/>
  <c r="C5457" i="33"/>
  <c r="F5456" i="33"/>
  <c r="G5458" i="33" s="1"/>
  <c r="D5456" i="33"/>
  <c r="G5456" i="33" s="1"/>
  <c r="C5456" i="33"/>
  <c r="F5434" i="33"/>
  <c r="D5434" i="33"/>
  <c r="G5434" i="33" s="1"/>
  <c r="C5434" i="33"/>
  <c r="F5422" i="33"/>
  <c r="D5422" i="33"/>
  <c r="G5422" i="33" s="1"/>
  <c r="C5422" i="33"/>
  <c r="F5411" i="33"/>
  <c r="D5411" i="33"/>
  <c r="G5411" i="33" s="1"/>
  <c r="C5411" i="33"/>
  <c r="F5399" i="33"/>
  <c r="D5399" i="33"/>
  <c r="G5399" i="33" s="1"/>
  <c r="C5399" i="33"/>
  <c r="F5388" i="33"/>
  <c r="D5388" i="33"/>
  <c r="G5388" i="33" s="1"/>
  <c r="C5388" i="33"/>
  <c r="F5376" i="33"/>
  <c r="D5376" i="33"/>
  <c r="G5376" i="33" s="1"/>
  <c r="C5376" i="33"/>
  <c r="F5365" i="33"/>
  <c r="D5365" i="33"/>
  <c r="G5365" i="33" s="1"/>
  <c r="C5365" i="33"/>
  <c r="F5353" i="33"/>
  <c r="D5353" i="33"/>
  <c r="G5353" i="33" s="1"/>
  <c r="C5353" i="33"/>
  <c r="F5342" i="33"/>
  <c r="D5342" i="33"/>
  <c r="G5342" i="33" s="1"/>
  <c r="C5342" i="33"/>
  <c r="F5330" i="33"/>
  <c r="D5330" i="33"/>
  <c r="G5330" i="33" s="1"/>
  <c r="C5330" i="33"/>
  <c r="F5319" i="33"/>
  <c r="D5319" i="33"/>
  <c r="G5319" i="33" s="1"/>
  <c r="C5319" i="33"/>
  <c r="F5307" i="33"/>
  <c r="D5307" i="33"/>
  <c r="G5307" i="33" s="1"/>
  <c r="C5307" i="33"/>
  <c r="E5008" i="33"/>
  <c r="G5008" i="33" s="1"/>
  <c r="F5106" i="33"/>
  <c r="D5106" i="33"/>
  <c r="G5106" i="33" s="1"/>
  <c r="C5106" i="33"/>
  <c r="F5105" i="33"/>
  <c r="G5107" i="33" s="1"/>
  <c r="D5105" i="33"/>
  <c r="G5105" i="33" s="1"/>
  <c r="C5105" i="33"/>
  <c r="F5100" i="33"/>
  <c r="D5100" i="33"/>
  <c r="G5100" i="33" s="1"/>
  <c r="C5100" i="33"/>
  <c r="F5099" i="33"/>
  <c r="G5101" i="33" s="1"/>
  <c r="D5099" i="33"/>
  <c r="G5099" i="33" s="1"/>
  <c r="C5099" i="33"/>
  <c r="F5089" i="33"/>
  <c r="D5089" i="33"/>
  <c r="G5089" i="33" s="1"/>
  <c r="C5089" i="33"/>
  <c r="F5088" i="33"/>
  <c r="G5090" i="33" s="1"/>
  <c r="D5088" i="33"/>
  <c r="G5088" i="33" s="1"/>
  <c r="C5088" i="33"/>
  <c r="F5064" i="33"/>
  <c r="D5064" i="33"/>
  <c r="G5064" i="33" s="1"/>
  <c r="C5064" i="33"/>
  <c r="F5063" i="33"/>
  <c r="G5065" i="33" s="1"/>
  <c r="D5063" i="33"/>
  <c r="G5063" i="33" s="1"/>
  <c r="C5063" i="33"/>
  <c r="F5052" i="33"/>
  <c r="D5052" i="33"/>
  <c r="G5052" i="33" s="1"/>
  <c r="C5052" i="33"/>
  <c r="F5027" i="33"/>
  <c r="D5027" i="33"/>
  <c r="G5027" i="33" s="1"/>
  <c r="C5027" i="33"/>
  <c r="F5026" i="33"/>
  <c r="G5028" i="33" s="1"/>
  <c r="D5026" i="33"/>
  <c r="G5026" i="33" s="1"/>
  <c r="C5026" i="33"/>
  <c r="F5021" i="33"/>
  <c r="D5021" i="33"/>
  <c r="G5021" i="33" s="1"/>
  <c r="C5021" i="33"/>
  <c r="F5020" i="33"/>
  <c r="G5022" i="33" s="1"/>
  <c r="D5020" i="33"/>
  <c r="G5020" i="33" s="1"/>
  <c r="C5020" i="33"/>
  <c r="F5002" i="33"/>
  <c r="D5002" i="33"/>
  <c r="G5002" i="33" s="1"/>
  <c r="C5002" i="33"/>
  <c r="F5001" i="33"/>
  <c r="G5003" i="33" s="1"/>
  <c r="D5001" i="33"/>
  <c r="G5001" i="33" s="1"/>
  <c r="C5001" i="33"/>
  <c r="F4996" i="33"/>
  <c r="D4996" i="33"/>
  <c r="G4996" i="33" s="1"/>
  <c r="C4996" i="33"/>
  <c r="F4995" i="33"/>
  <c r="G4997" i="33" s="1"/>
  <c r="D4995" i="33"/>
  <c r="G4995" i="33" s="1"/>
  <c r="C4995" i="33"/>
  <c r="F4985" i="33"/>
  <c r="D4985" i="33"/>
  <c r="G4985" i="33" s="1"/>
  <c r="C4985" i="33"/>
  <c r="F4972" i="33"/>
  <c r="D4972" i="33"/>
  <c r="G4972" i="33" s="1"/>
  <c r="C4972" i="33"/>
  <c r="E4889" i="33"/>
  <c r="G4889" i="33" s="1"/>
  <c r="F4961" i="33"/>
  <c r="D4961" i="33"/>
  <c r="G4961" i="33" s="1"/>
  <c r="C4961" i="33"/>
  <c r="F4948" i="33"/>
  <c r="D4948" i="33"/>
  <c r="G4948" i="33" s="1"/>
  <c r="C4948" i="33"/>
  <c r="F4937" i="33"/>
  <c r="D4937" i="33"/>
  <c r="G4937" i="33" s="1"/>
  <c r="C4937" i="33"/>
  <c r="F4924" i="33"/>
  <c r="D4924" i="33"/>
  <c r="G4924" i="33" s="1"/>
  <c r="C4924" i="33"/>
  <c r="F4913" i="33"/>
  <c r="D4913" i="33"/>
  <c r="G4913" i="33" s="1"/>
  <c r="C4913" i="33"/>
  <c r="G4907" i="33"/>
  <c r="G4905" i="33"/>
  <c r="F4900" i="33"/>
  <c r="D4900" i="33"/>
  <c r="G4900" i="33" s="1"/>
  <c r="C4900" i="33"/>
  <c r="F4883" i="33"/>
  <c r="D4883" i="33"/>
  <c r="G4883" i="33" s="1"/>
  <c r="C4883" i="33"/>
  <c r="F4882" i="33"/>
  <c r="G4884" i="33" s="1"/>
  <c r="D4882" i="33"/>
  <c r="G4882" i="33" s="1"/>
  <c r="C4882" i="33"/>
  <c r="F4877" i="33"/>
  <c r="D4877" i="33"/>
  <c r="G4877" i="33" s="1"/>
  <c r="C4877" i="33"/>
  <c r="F4876" i="33"/>
  <c r="G4878" i="33" s="1"/>
  <c r="D4876" i="33"/>
  <c r="G4876" i="33" s="1"/>
  <c r="C4876" i="33"/>
  <c r="F5296" i="33"/>
  <c r="D5296" i="33"/>
  <c r="G5296" i="33" s="1"/>
  <c r="C5296" i="33"/>
  <c r="F5284" i="33"/>
  <c r="D5284" i="33"/>
  <c r="G5284" i="33" s="1"/>
  <c r="C5284" i="33"/>
  <c r="F5273" i="33"/>
  <c r="D5273" i="33"/>
  <c r="G5273" i="33" s="1"/>
  <c r="C5273" i="33"/>
  <c r="F5261" i="33"/>
  <c r="D5261" i="33"/>
  <c r="G5261" i="33" s="1"/>
  <c r="C5261" i="33"/>
  <c r="F5250" i="33"/>
  <c r="D5250" i="33"/>
  <c r="G5250" i="33" s="1"/>
  <c r="C5250" i="33"/>
  <c r="F5238" i="33"/>
  <c r="D5238" i="33"/>
  <c r="G5238" i="33" s="1"/>
  <c r="C5238" i="33"/>
  <c r="F5227" i="33"/>
  <c r="D5227" i="33"/>
  <c r="G5227" i="33" s="1"/>
  <c r="C5227" i="33"/>
  <c r="F5215" i="33"/>
  <c r="D5215" i="33"/>
  <c r="G5215" i="33" s="1"/>
  <c r="C5215" i="33"/>
  <c r="F5204" i="33"/>
  <c r="D5204" i="33"/>
  <c r="G5204" i="33" s="1"/>
  <c r="C5204" i="33"/>
  <c r="F5192" i="33"/>
  <c r="D5192" i="33"/>
  <c r="G5192" i="33" s="1"/>
  <c r="C5192" i="33"/>
  <c r="F5181" i="33"/>
  <c r="D5181" i="33"/>
  <c r="G5181" i="33" s="1"/>
  <c r="C5181" i="33"/>
  <c r="F5169" i="33"/>
  <c r="D5169" i="33"/>
  <c r="G5169" i="33" s="1"/>
  <c r="C5169" i="33"/>
  <c r="F5158" i="33"/>
  <c r="D5158" i="33"/>
  <c r="G5158" i="33" s="1"/>
  <c r="C5158" i="33"/>
  <c r="F5146" i="33"/>
  <c r="D5146" i="33"/>
  <c r="G5146" i="33" s="1"/>
  <c r="C5146" i="33"/>
  <c r="F5135" i="33"/>
  <c r="D5135" i="33"/>
  <c r="G5135" i="33" s="1"/>
  <c r="C5135" i="33"/>
  <c r="F5123" i="33"/>
  <c r="D5123" i="33"/>
  <c r="G5123" i="33" s="1"/>
  <c r="C5123" i="33"/>
  <c r="M48" i="34"/>
  <c r="M49" i="34"/>
  <c r="M50" i="34"/>
  <c r="M51" i="34"/>
  <c r="M52" i="34"/>
  <c r="M53" i="34"/>
  <c r="M54" i="34"/>
  <c r="M55" i="34"/>
  <c r="M56" i="34"/>
  <c r="M57" i="34"/>
  <c r="M58" i="34"/>
  <c r="M59" i="34"/>
  <c r="M60" i="34"/>
  <c r="M61" i="34"/>
  <c r="T51" i="23"/>
  <c r="T49" i="23"/>
  <c r="T47" i="23"/>
  <c r="T45" i="23"/>
  <c r="T43" i="23"/>
  <c r="T41" i="23"/>
  <c r="T38" i="23"/>
  <c r="T36" i="23"/>
  <c r="T34" i="23"/>
  <c r="T32" i="23"/>
  <c r="T30" i="23"/>
  <c r="M19" i="34"/>
  <c r="F184" i="33" s="1"/>
  <c r="G184" i="33" s="1"/>
  <c r="G186" i="33" s="1"/>
  <c r="G200" i="33" s="1"/>
  <c r="F181" i="33" s="1"/>
  <c r="G341" i="5" s="1"/>
  <c r="M20" i="34"/>
  <c r="F255" i="33" s="1"/>
  <c r="G255" i="33" s="1"/>
  <c r="G257" i="33" s="1"/>
  <c r="G271" i="33" s="1"/>
  <c r="F252" i="33" s="1"/>
  <c r="G128" i="5" s="1"/>
  <c r="M17" i="34"/>
  <c r="F46" i="33" s="1"/>
  <c r="G46" i="33" s="1"/>
  <c r="G48" i="33" s="1"/>
  <c r="G62" i="33" s="1"/>
  <c r="F43" i="33" s="1"/>
  <c r="G38" i="5" s="1"/>
  <c r="H38" i="5" s="1"/>
  <c r="M18" i="34"/>
  <c r="F92" i="33" s="1"/>
  <c r="G92" i="33" s="1"/>
  <c r="G94" i="33" s="1"/>
  <c r="E5545" i="33"/>
  <c r="G5545" i="33" s="1"/>
  <c r="E5521" i="33"/>
  <c r="G5521" i="33" s="1"/>
  <c r="M297" i="47"/>
  <c r="M285" i="47"/>
  <c r="M286" i="47"/>
  <c r="M287" i="47"/>
  <c r="M279" i="47"/>
  <c r="M280" i="47"/>
  <c r="M274" i="47"/>
  <c r="M269" i="47"/>
  <c r="M254" i="47"/>
  <c r="M237" i="47"/>
  <c r="M238" i="47"/>
  <c r="M221" i="47"/>
  <c r="M222" i="47"/>
  <c r="M220" i="47" s="1"/>
  <c r="M214" i="47"/>
  <c r="J122" i="5"/>
  <c r="K122" i="5" s="1"/>
  <c r="G4859" i="33"/>
  <c r="G4860" i="33"/>
  <c r="G4753" i="33"/>
  <c r="G4755" i="33" s="1"/>
  <c r="G4654" i="33"/>
  <c r="G4704" i="33"/>
  <c r="G4730" i="33"/>
  <c r="G4679" i="33"/>
  <c r="G4729" i="33"/>
  <c r="G4705" i="33"/>
  <c r="G4630" i="33"/>
  <c r="G4680" i="33"/>
  <c r="G4655" i="33"/>
  <c r="G4629" i="33"/>
  <c r="G4710" i="33"/>
  <c r="G4685" i="33"/>
  <c r="G4689" i="33" s="1"/>
  <c r="G4698" i="33"/>
  <c r="G4673" i="33"/>
  <c r="G4648" i="33"/>
  <c r="G4623" i="33"/>
  <c r="G4607" i="33"/>
  <c r="G4606" i="33"/>
  <c r="G4584" i="33"/>
  <c r="G4583" i="33"/>
  <c r="G4582" i="33"/>
  <c r="G3862" i="33"/>
  <c r="G3863" i="33"/>
  <c r="G3839" i="33"/>
  <c r="G3840" i="33"/>
  <c r="G3817" i="33"/>
  <c r="G3816" i="33"/>
  <c r="G3794" i="33"/>
  <c r="G3793" i="33"/>
  <c r="G3748" i="33"/>
  <c r="G3536" i="33"/>
  <c r="G3537" i="33"/>
  <c r="G3514" i="33"/>
  <c r="G3513" i="33"/>
  <c r="G3491" i="33"/>
  <c r="G3492" i="33" s="1"/>
  <c r="G3418" i="33"/>
  <c r="G5157" i="33"/>
  <c r="G5249" i="33"/>
  <c r="G5295" i="33"/>
  <c r="G5490" i="33"/>
  <c r="G5467" i="33"/>
  <c r="G5444" i="33"/>
  <c r="G5428" i="33"/>
  <c r="G5405" i="33"/>
  <c r="G5427" i="33"/>
  <c r="G5387" i="33"/>
  <c r="G5381" i="33"/>
  <c r="G5382" i="33"/>
  <c r="G5404" i="33"/>
  <c r="G5433" i="33"/>
  <c r="G5410" i="33"/>
  <c r="G5359" i="33"/>
  <c r="G5358" i="33"/>
  <c r="G5341" i="33"/>
  <c r="G5335" i="33"/>
  <c r="G5364" i="33"/>
  <c r="G5336" i="33"/>
  <c r="G5203" i="33"/>
  <c r="G5313" i="33"/>
  <c r="G5180" i="33"/>
  <c r="G5134" i="33"/>
  <c r="G5272" i="33"/>
  <c r="G5290" i="33"/>
  <c r="G5312" i="33"/>
  <c r="G5318" i="33"/>
  <c r="G5152" i="33"/>
  <c r="G5244" i="33"/>
  <c r="G5198" i="33"/>
  <c r="G5289" i="33"/>
  <c r="G5129" i="33"/>
  <c r="G5267" i="33"/>
  <c r="G5221" i="33"/>
  <c r="G5175" i="33"/>
  <c r="G5128" i="33"/>
  <c r="G5151" i="33"/>
  <c r="G5174" i="33"/>
  <c r="G5197" i="33"/>
  <c r="G5220" i="33"/>
  <c r="G5243" i="33"/>
  <c r="G5266" i="33"/>
  <c r="G5226" i="33"/>
  <c r="G5076" i="33"/>
  <c r="G5075" i="33"/>
  <c r="G4888" i="33"/>
  <c r="G5083" i="33"/>
  <c r="G5112" i="33"/>
  <c r="G5082" i="33"/>
  <c r="G5111" i="33"/>
  <c r="G5077" i="33"/>
  <c r="G5032" i="33"/>
  <c r="G5007" i="33"/>
  <c r="G5074" i="33"/>
  <c r="G5043" i="33"/>
  <c r="G5033" i="33"/>
  <c r="G5010" i="33"/>
  <c r="G5009" i="33"/>
  <c r="G4912" i="33"/>
  <c r="G5520" i="33"/>
  <c r="G5544" i="33"/>
  <c r="M198" i="47"/>
  <c r="M199" i="47"/>
  <c r="M200" i="47"/>
  <c r="C691" i="47"/>
  <c r="M403" i="47"/>
  <c r="M402" i="47" s="1"/>
  <c r="M400" i="47"/>
  <c r="M399" i="47" s="1"/>
  <c r="M391" i="47"/>
  <c r="M390" i="47"/>
  <c r="M388" i="47"/>
  <c r="M387" i="47" s="1"/>
  <c r="M385" i="47"/>
  <c r="M384" i="47" s="1"/>
  <c r="M378" i="47"/>
  <c r="M377" i="47" s="1"/>
  <c r="M375" i="47"/>
  <c r="M374" i="47" s="1"/>
  <c r="M372" i="47"/>
  <c r="M371" i="47" s="1"/>
  <c r="M369" i="47"/>
  <c r="M368" i="47" s="1"/>
  <c r="M366" i="47"/>
  <c r="M365" i="47" s="1"/>
  <c r="M363" i="47"/>
  <c r="M362" i="47"/>
  <c r="M350" i="47"/>
  <c r="M349" i="47"/>
  <c r="M347" i="47"/>
  <c r="M346" i="47"/>
  <c r="M344" i="47"/>
  <c r="M343" i="47" s="1"/>
  <c r="M341" i="47"/>
  <c r="M340" i="47"/>
  <c r="M338" i="47"/>
  <c r="M337" i="47"/>
  <c r="M335" i="47"/>
  <c r="M334" i="47" s="1"/>
  <c r="M332" i="47"/>
  <c r="M331" i="47" s="1"/>
  <c r="M329" i="47"/>
  <c r="M328" i="47" s="1"/>
  <c r="M326" i="47"/>
  <c r="M325" i="47" s="1"/>
  <c r="M323" i="47"/>
  <c r="M322" i="47" s="1"/>
  <c r="M320" i="47"/>
  <c r="M319" i="47" s="1"/>
  <c r="M317" i="47"/>
  <c r="M316" i="47" s="1"/>
  <c r="M314" i="47"/>
  <c r="M313" i="47"/>
  <c r="M311" i="47"/>
  <c r="M310" i="47"/>
  <c r="M308" i="47"/>
  <c r="M307" i="47" s="1"/>
  <c r="M301" i="47"/>
  <c r="M300" i="47" s="1"/>
  <c r="M290" i="47"/>
  <c r="M289" i="47"/>
  <c r="M266" i="47"/>
  <c r="M265" i="47"/>
  <c r="M260" i="47"/>
  <c r="M259" i="47" s="1"/>
  <c r="M257" i="47"/>
  <c r="M256" i="47" s="1"/>
  <c r="M242" i="47"/>
  <c r="M241" i="47" s="1"/>
  <c r="M675" i="47"/>
  <c r="M674" i="47"/>
  <c r="M673" i="47" s="1"/>
  <c r="M671" i="47"/>
  <c r="M670" i="47"/>
  <c r="M667" i="47"/>
  <c r="M666" i="47"/>
  <c r="M663" i="47"/>
  <c r="M662" i="47"/>
  <c r="M659" i="47"/>
  <c r="M658" i="47"/>
  <c r="M657" i="47" s="1"/>
  <c r="M655" i="47"/>
  <c r="M651" i="47"/>
  <c r="M647" i="47"/>
  <c r="M639" i="47"/>
  <c r="M627" i="47"/>
  <c r="M607" i="47"/>
  <c r="M298" i="47"/>
  <c r="M281" i="47"/>
  <c r="M275" i="47"/>
  <c r="M270" i="47"/>
  <c r="M268" i="47" s="1"/>
  <c r="M239" i="47"/>
  <c r="M223" i="47"/>
  <c r="M218" i="47"/>
  <c r="M216" i="47" s="1"/>
  <c r="M217" i="47"/>
  <c r="M234" i="47"/>
  <c r="M232" i="47" s="1"/>
  <c r="M230" i="47"/>
  <c r="M233" i="47"/>
  <c r="M229" i="47"/>
  <c r="M226" i="47"/>
  <c r="M225" i="47"/>
  <c r="M213" i="47"/>
  <c r="M210" i="47"/>
  <c r="M209" i="47" s="1"/>
  <c r="M207" i="47"/>
  <c r="M206" i="47" s="1"/>
  <c r="M204" i="47"/>
  <c r="M203" i="47"/>
  <c r="M194" i="47"/>
  <c r="M193" i="47" s="1"/>
  <c r="M189" i="47"/>
  <c r="M188" i="47" s="1"/>
  <c r="M191" i="47"/>
  <c r="M182" i="47"/>
  <c r="M186" i="47"/>
  <c r="M190" i="47"/>
  <c r="M181" i="47"/>
  <c r="M178" i="47"/>
  <c r="M177" i="47" s="1"/>
  <c r="M175" i="47"/>
  <c r="M174" i="47" s="1"/>
  <c r="M172" i="47"/>
  <c r="M171" i="47" s="1"/>
  <c r="M169" i="47"/>
  <c r="M168" i="47"/>
  <c r="M166" i="47"/>
  <c r="M165" i="47" s="1"/>
  <c r="M163" i="47"/>
  <c r="M162" i="47" s="1"/>
  <c r="M160" i="47"/>
  <c r="M159" i="47" s="1"/>
  <c r="M157" i="47"/>
  <c r="M156" i="47" s="1"/>
  <c r="M154" i="47"/>
  <c r="M153" i="47" s="1"/>
  <c r="M151" i="47"/>
  <c r="M150" i="47"/>
  <c r="M148" i="47"/>
  <c r="M147" i="47" s="1"/>
  <c r="M145" i="47"/>
  <c r="M144" i="47" s="1"/>
  <c r="M131" i="47"/>
  <c r="M130" i="47" s="1"/>
  <c r="M128" i="47"/>
  <c r="M127" i="47" s="1"/>
  <c r="M125" i="47"/>
  <c r="M124" i="47" s="1"/>
  <c r="M122" i="47"/>
  <c r="M121" i="47"/>
  <c r="M119" i="47"/>
  <c r="M118" i="47" s="1"/>
  <c r="M116" i="47"/>
  <c r="M115" i="47" s="1"/>
  <c r="M113" i="47"/>
  <c r="M112" i="47" s="1"/>
  <c r="M110" i="47"/>
  <c r="M109" i="47" s="1"/>
  <c r="M107" i="47"/>
  <c r="M106" i="47" s="1"/>
  <c r="M104" i="47"/>
  <c r="M103" i="47" s="1"/>
  <c r="M101" i="47"/>
  <c r="M100" i="47" s="1"/>
  <c r="M98" i="47"/>
  <c r="M97" i="47" s="1"/>
  <c r="M86" i="47"/>
  <c r="M85" i="47" s="1"/>
  <c r="M83" i="47"/>
  <c r="M82" i="47"/>
  <c r="M78" i="47"/>
  <c r="M79" i="47"/>
  <c r="M77" i="47"/>
  <c r="M73" i="47"/>
  <c r="M74" i="47"/>
  <c r="M71" i="47" s="1"/>
  <c r="M72" i="47"/>
  <c r="M67" i="47"/>
  <c r="M68" i="47"/>
  <c r="M69" i="47"/>
  <c r="M46" i="47"/>
  <c r="M45" i="47"/>
  <c r="M44" i="47"/>
  <c r="M40" i="47"/>
  <c r="M41" i="47"/>
  <c r="M39" i="47"/>
  <c r="M95" i="47"/>
  <c r="M94" i="47"/>
  <c r="M92" i="47"/>
  <c r="M91" i="47" s="1"/>
  <c r="M64" i="47"/>
  <c r="M63" i="47"/>
  <c r="M61" i="47"/>
  <c r="M60" i="47"/>
  <c r="M58" i="47"/>
  <c r="M57" i="47"/>
  <c r="M55" i="47"/>
  <c r="M54" i="47" s="1"/>
  <c r="F29" i="47"/>
  <c r="M29" i="47" s="1"/>
  <c r="M28" i="47" s="1"/>
  <c r="F643" i="47"/>
  <c r="M643" i="47" s="1"/>
  <c r="F635" i="47"/>
  <c r="M635" i="47" s="1"/>
  <c r="F634" i="47"/>
  <c r="M634" i="47" s="1"/>
  <c r="F631" i="47"/>
  <c r="M631" i="47" s="1"/>
  <c r="M629" i="47" s="1"/>
  <c r="F623" i="47"/>
  <c r="M623" i="47"/>
  <c r="M621" i="47" s="1"/>
  <c r="F619" i="47"/>
  <c r="M619" i="47" s="1"/>
  <c r="F615" i="47"/>
  <c r="M615" i="47" s="1"/>
  <c r="F610" i="47"/>
  <c r="M610" i="47" s="1"/>
  <c r="M609" i="47" s="1"/>
  <c r="M603" i="47"/>
  <c r="M602" i="47"/>
  <c r="M654" i="47"/>
  <c r="M650" i="47"/>
  <c r="M649" i="47" s="1"/>
  <c r="M646" i="47"/>
  <c r="M645" i="47" s="1"/>
  <c r="M642" i="47"/>
  <c r="M638" i="47"/>
  <c r="M630" i="47"/>
  <c r="M626" i="47"/>
  <c r="M625" i="47" s="1"/>
  <c r="M622" i="47"/>
  <c r="M618" i="47"/>
  <c r="M614" i="47"/>
  <c r="M606" i="47"/>
  <c r="M600" i="47"/>
  <c r="M599" i="47" s="1"/>
  <c r="M597" i="47"/>
  <c r="M596" i="47"/>
  <c r="M594" i="47"/>
  <c r="M593" i="47" s="1"/>
  <c r="M591" i="47"/>
  <c r="M590" i="47" s="1"/>
  <c r="M587" i="47"/>
  <c r="M586" i="47" s="1"/>
  <c r="M583" i="47"/>
  <c r="M582" i="47" s="1"/>
  <c r="M579" i="47"/>
  <c r="M578" i="47" s="1"/>
  <c r="M576" i="47"/>
  <c r="M575" i="47"/>
  <c r="M573" i="47"/>
  <c r="M572" i="47" s="1"/>
  <c r="M570" i="47"/>
  <c r="M569" i="47" s="1"/>
  <c r="M566" i="47"/>
  <c r="M565" i="47" s="1"/>
  <c r="M563" i="47"/>
  <c r="M562" i="47" s="1"/>
  <c r="M560" i="47"/>
  <c r="M559" i="47" s="1"/>
  <c r="M557" i="47"/>
  <c r="M556" i="47" s="1"/>
  <c r="M554" i="47"/>
  <c r="M553" i="47" s="1"/>
  <c r="M551" i="47"/>
  <c r="M550" i="47" s="1"/>
  <c r="M546" i="47"/>
  <c r="M545" i="47" s="1"/>
  <c r="M543" i="47"/>
  <c r="M542" i="47" s="1"/>
  <c r="M539" i="47"/>
  <c r="M538" i="47" s="1"/>
  <c r="M536" i="47"/>
  <c r="M535" i="47" s="1"/>
  <c r="M533" i="47"/>
  <c r="M532" i="47" s="1"/>
  <c r="M530" i="47"/>
  <c r="M529" i="47" s="1"/>
  <c r="M527" i="47"/>
  <c r="M526" i="47" s="1"/>
  <c r="M524" i="47"/>
  <c r="M523" i="47" s="1"/>
  <c r="M521" i="47"/>
  <c r="M520" i="47" s="1"/>
  <c r="M518" i="47"/>
  <c r="M517" i="47" s="1"/>
  <c r="M515" i="47"/>
  <c r="M514" i="47" s="1"/>
  <c r="M512" i="47"/>
  <c r="M511" i="47" s="1"/>
  <c r="M509" i="47"/>
  <c r="M508" i="47" s="1"/>
  <c r="M506" i="47"/>
  <c r="M505" i="47" s="1"/>
  <c r="M503" i="47"/>
  <c r="M502" i="47" s="1"/>
  <c r="M500" i="47"/>
  <c r="M499" i="47" s="1"/>
  <c r="M497" i="47"/>
  <c r="M496" i="47" s="1"/>
  <c r="M493" i="47"/>
  <c r="M492" i="47" s="1"/>
  <c r="M489" i="47"/>
  <c r="M488" i="47" s="1"/>
  <c r="M485" i="47"/>
  <c r="M484" i="47" s="1"/>
  <c r="M482" i="47"/>
  <c r="M481" i="47" s="1"/>
  <c r="M479" i="47"/>
  <c r="M478" i="47" s="1"/>
  <c r="M476" i="47"/>
  <c r="M475" i="47" s="1"/>
  <c r="M472" i="47"/>
  <c r="M471" i="47" s="1"/>
  <c r="M469" i="47"/>
  <c r="M468" i="47" s="1"/>
  <c r="M466" i="47"/>
  <c r="M465" i="47" s="1"/>
  <c r="M463" i="47"/>
  <c r="M462" i="47" s="1"/>
  <c r="M459" i="47"/>
  <c r="M458" i="47" s="1"/>
  <c r="M456" i="47"/>
  <c r="M455" i="47" s="1"/>
  <c r="M452" i="47"/>
  <c r="M451" i="47" s="1"/>
  <c r="M419" i="47"/>
  <c r="M418" i="47" s="1"/>
  <c r="M416" i="47"/>
  <c r="M415" i="47" s="1"/>
  <c r="M449" i="47"/>
  <c r="M448" i="47" s="1"/>
  <c r="M446" i="47"/>
  <c r="M445" i="47" s="1"/>
  <c r="M443" i="47"/>
  <c r="M442" i="47" s="1"/>
  <c r="M439" i="47"/>
  <c r="M438" i="47" s="1"/>
  <c r="M436" i="47"/>
  <c r="M435" i="47" s="1"/>
  <c r="M433" i="47"/>
  <c r="M432" i="47" s="1"/>
  <c r="M429" i="47"/>
  <c r="M428" i="47" s="1"/>
  <c r="M426" i="47"/>
  <c r="M425" i="47"/>
  <c r="M423" i="47"/>
  <c r="M422" i="47" s="1"/>
  <c r="M413" i="47"/>
  <c r="M412" i="47" s="1"/>
  <c r="F397" i="47"/>
  <c r="M397" i="47" s="1"/>
  <c r="M396" i="47" s="1"/>
  <c r="F394" i="47"/>
  <c r="M394" i="47" s="1"/>
  <c r="M393" i="47" s="1"/>
  <c r="F382" i="47"/>
  <c r="M382" i="47"/>
  <c r="M381" i="47" s="1"/>
  <c r="F360" i="47"/>
  <c r="M360" i="47" s="1"/>
  <c r="M359" i="47" s="1"/>
  <c r="F357" i="47"/>
  <c r="M357" i="47" s="1"/>
  <c r="M356" i="47" s="1"/>
  <c r="F354" i="47"/>
  <c r="M354" i="47"/>
  <c r="M353" i="47" s="1"/>
  <c r="F305" i="47"/>
  <c r="M305" i="47"/>
  <c r="F304" i="47"/>
  <c r="M304" i="47" s="1"/>
  <c r="F296" i="47"/>
  <c r="M296" i="47" s="1"/>
  <c r="M295" i="47" s="1"/>
  <c r="F293" i="47"/>
  <c r="M293" i="47" s="1"/>
  <c r="M292" i="47" s="1"/>
  <c r="F284" i="47"/>
  <c r="M284" i="47"/>
  <c r="F278" i="47"/>
  <c r="M278" i="47"/>
  <c r="M277" i="47" s="1"/>
  <c r="F273" i="47"/>
  <c r="M273" i="47" s="1"/>
  <c r="F263" i="47"/>
  <c r="M263" i="47" s="1"/>
  <c r="M262" i="47" s="1"/>
  <c r="F253" i="47"/>
  <c r="M253" i="47" s="1"/>
  <c r="F252" i="47"/>
  <c r="M252" i="47" s="1"/>
  <c r="F251" i="47"/>
  <c r="M251" i="47" s="1"/>
  <c r="F248" i="47"/>
  <c r="M248" i="47"/>
  <c r="F247" i="47"/>
  <c r="M247" i="47" s="1"/>
  <c r="F246" i="47"/>
  <c r="M246" i="47" s="1"/>
  <c r="F245" i="47"/>
  <c r="M245" i="47"/>
  <c r="F197" i="47"/>
  <c r="M197" i="47"/>
  <c r="F185" i="47"/>
  <c r="M185" i="47"/>
  <c r="M184" i="47" s="1"/>
  <c r="F142" i="47"/>
  <c r="M142" i="47" s="1"/>
  <c r="F141" i="47"/>
  <c r="M141" i="47" s="1"/>
  <c r="F138" i="47"/>
  <c r="M138" i="47"/>
  <c r="F137" i="47"/>
  <c r="M137" i="47" s="1"/>
  <c r="M136" i="47" s="1"/>
  <c r="B691" i="47"/>
  <c r="M688" i="47"/>
  <c r="M687" i="47" s="1"/>
  <c r="M684" i="47"/>
  <c r="M683" i="47" s="1"/>
  <c r="M681" i="47"/>
  <c r="M680" i="47" s="1"/>
  <c r="M410" i="47"/>
  <c r="M409" i="47" s="1"/>
  <c r="M52" i="47"/>
  <c r="M51" i="47" s="1"/>
  <c r="M49" i="47"/>
  <c r="M48" i="47" s="1"/>
  <c r="M26" i="47"/>
  <c r="M25" i="47" s="1"/>
  <c r="M23" i="47"/>
  <c r="M22" i="47" s="1"/>
  <c r="M20" i="47"/>
  <c r="M19" i="47" s="1"/>
  <c r="B238" i="15"/>
  <c r="M235" i="15"/>
  <c r="M234" i="15"/>
  <c r="M233" i="15" s="1"/>
  <c r="M812" i="42"/>
  <c r="M811" i="42"/>
  <c r="M808" i="42"/>
  <c r="M807" i="42" s="1"/>
  <c r="M805" i="42"/>
  <c r="M804" i="42" s="1"/>
  <c r="M674" i="42"/>
  <c r="M673" i="42" s="1"/>
  <c r="M799" i="42"/>
  <c r="M798" i="42" s="1"/>
  <c r="M795" i="42"/>
  <c r="M794" i="42" s="1"/>
  <c r="M792" i="42"/>
  <c r="M791" i="42" s="1"/>
  <c r="M789" i="42"/>
  <c r="M788" i="42" s="1"/>
  <c r="M786" i="42"/>
  <c r="M785" i="42"/>
  <c r="M783" i="42"/>
  <c r="M782" i="42"/>
  <c r="M780" i="42"/>
  <c r="M779" i="42" s="1"/>
  <c r="M777" i="42"/>
  <c r="M776" i="42"/>
  <c r="M774" i="42"/>
  <c r="M773" i="42"/>
  <c r="M770" i="42"/>
  <c r="M769" i="42"/>
  <c r="M767" i="42"/>
  <c r="M766" i="42" s="1"/>
  <c r="M764" i="42"/>
  <c r="M763" i="42" s="1"/>
  <c r="M761" i="42"/>
  <c r="M760" i="42" s="1"/>
  <c r="M758" i="42"/>
  <c r="M757" i="42" s="1"/>
  <c r="M755" i="42"/>
  <c r="M754" i="42" s="1"/>
  <c r="M752" i="42"/>
  <c r="M751" i="42" s="1"/>
  <c r="M749" i="42"/>
  <c r="M748" i="42" s="1"/>
  <c r="M746" i="42"/>
  <c r="M745" i="42"/>
  <c r="M743" i="42"/>
  <c r="M742" i="42" s="1"/>
  <c r="M740" i="42"/>
  <c r="M739" i="42" s="1"/>
  <c r="M737" i="42"/>
  <c r="M736" i="42"/>
  <c r="M734" i="42"/>
  <c r="M733" i="42"/>
  <c r="M731" i="42"/>
  <c r="M730" i="42"/>
  <c r="M728" i="42"/>
  <c r="M727" i="42" s="1"/>
  <c r="M592" i="42"/>
  <c r="M591" i="42" s="1"/>
  <c r="M430" i="42"/>
  <c r="M429" i="42"/>
  <c r="M725" i="42"/>
  <c r="M724" i="42" s="1"/>
  <c r="M722" i="42"/>
  <c r="M721" i="42" s="1"/>
  <c r="M719" i="42"/>
  <c r="M718" i="42" s="1"/>
  <c r="M716" i="42"/>
  <c r="M715" i="42" s="1"/>
  <c r="M713" i="42"/>
  <c r="M712" i="42" s="1"/>
  <c r="M710" i="42"/>
  <c r="M709" i="42" s="1"/>
  <c r="M707" i="42"/>
  <c r="M706" i="42" s="1"/>
  <c r="M704" i="42"/>
  <c r="M703" i="42"/>
  <c r="M701" i="42"/>
  <c r="M700" i="42"/>
  <c r="M698" i="42"/>
  <c r="M697" i="42"/>
  <c r="M695" i="42"/>
  <c r="M694" i="42" s="1"/>
  <c r="M692" i="42"/>
  <c r="M691" i="42"/>
  <c r="M689" i="42"/>
  <c r="M688" i="42"/>
  <c r="M686" i="42"/>
  <c r="M685" i="42" s="1"/>
  <c r="M683" i="42"/>
  <c r="M682" i="42" s="1"/>
  <c r="M680" i="42"/>
  <c r="M679" i="42" s="1"/>
  <c r="M677" i="42"/>
  <c r="M676" i="42" s="1"/>
  <c r="M671" i="42"/>
  <c r="M670" i="42" s="1"/>
  <c r="M668" i="42"/>
  <c r="M667" i="42" s="1"/>
  <c r="M665" i="42"/>
  <c r="M664" i="42" s="1"/>
  <c r="M661" i="42"/>
  <c r="M660" i="42"/>
  <c r="M658" i="42"/>
  <c r="M657" i="42"/>
  <c r="M655" i="42"/>
  <c r="M654" i="42" s="1"/>
  <c r="M652" i="42"/>
  <c r="M651" i="42" s="1"/>
  <c r="M649" i="42"/>
  <c r="M648" i="42"/>
  <c r="M646" i="42"/>
  <c r="M645" i="42"/>
  <c r="M643" i="42"/>
  <c r="M642" i="42" s="1"/>
  <c r="M640" i="42"/>
  <c r="M639" i="42" s="1"/>
  <c r="M637" i="42"/>
  <c r="M636" i="42" s="1"/>
  <c r="M634" i="42"/>
  <c r="M633" i="42"/>
  <c r="M631" i="42"/>
  <c r="M630" i="42" s="1"/>
  <c r="M628" i="42"/>
  <c r="M627" i="42" s="1"/>
  <c r="M625" i="42"/>
  <c r="M624" i="42" s="1"/>
  <c r="M622" i="42"/>
  <c r="M621" i="42"/>
  <c r="M619" i="42"/>
  <c r="M618" i="42" s="1"/>
  <c r="M616" i="42"/>
  <c r="M615" i="42" s="1"/>
  <c r="M613" i="42"/>
  <c r="M612" i="42" s="1"/>
  <c r="M610" i="42"/>
  <c r="M609" i="42"/>
  <c r="M607" i="42"/>
  <c r="M606" i="42"/>
  <c r="M604" i="42"/>
  <c r="M603" i="42" s="1"/>
  <c r="M601" i="42"/>
  <c r="M600" i="42" s="1"/>
  <c r="M598" i="42"/>
  <c r="M597" i="42"/>
  <c r="M595" i="42"/>
  <c r="M594" i="42"/>
  <c r="M589" i="42"/>
  <c r="M588" i="42" s="1"/>
  <c r="M586" i="42"/>
  <c r="M585" i="42" s="1"/>
  <c r="M583" i="42"/>
  <c r="M582" i="42" s="1"/>
  <c r="M580" i="42"/>
  <c r="M579" i="42" s="1"/>
  <c r="M577" i="42"/>
  <c r="M576" i="42" s="1"/>
  <c r="M574" i="42"/>
  <c r="M573" i="42" s="1"/>
  <c r="M571" i="42"/>
  <c r="M570" i="42" s="1"/>
  <c r="M568" i="42"/>
  <c r="M567" i="42"/>
  <c r="M565" i="42"/>
  <c r="M564" i="42"/>
  <c r="M562" i="42"/>
  <c r="M561" i="42" s="1"/>
  <c r="M559" i="42"/>
  <c r="M558" i="42"/>
  <c r="M556" i="42"/>
  <c r="M555" i="42"/>
  <c r="M553" i="42"/>
  <c r="M552" i="42"/>
  <c r="M550" i="42"/>
  <c r="M549" i="42" s="1"/>
  <c r="M547" i="42"/>
  <c r="M546" i="42" s="1"/>
  <c r="M544" i="42"/>
  <c r="M543" i="42" s="1"/>
  <c r="M541" i="42"/>
  <c r="M540" i="42" s="1"/>
  <c r="M538" i="42"/>
  <c r="M537" i="42" s="1"/>
  <c r="M535" i="42"/>
  <c r="M534" i="42" s="1"/>
  <c r="M532" i="42"/>
  <c r="M531" i="42" s="1"/>
  <c r="M528" i="42"/>
  <c r="M527" i="42"/>
  <c r="M525" i="42"/>
  <c r="M524" i="42" s="1"/>
  <c r="M522" i="42"/>
  <c r="M521" i="42" s="1"/>
  <c r="M519" i="42"/>
  <c r="M518" i="42"/>
  <c r="M516" i="42"/>
  <c r="M515" i="42"/>
  <c r="M513" i="42"/>
  <c r="M512" i="42"/>
  <c r="M510" i="42"/>
  <c r="M509" i="42" s="1"/>
  <c r="M507" i="42"/>
  <c r="M506" i="42" s="1"/>
  <c r="M504" i="42"/>
  <c r="M503" i="42"/>
  <c r="M501" i="42"/>
  <c r="M500" i="42" s="1"/>
  <c r="M498" i="42"/>
  <c r="M497" i="42" s="1"/>
  <c r="M495" i="42"/>
  <c r="M494" i="42" s="1"/>
  <c r="M492" i="42"/>
  <c r="M491" i="42" s="1"/>
  <c r="M489" i="42"/>
  <c r="M488" i="42" s="1"/>
  <c r="F175" i="5" s="1"/>
  <c r="M483" i="42"/>
  <c r="M482" i="42" s="1"/>
  <c r="M480" i="42"/>
  <c r="M479" i="42" s="1"/>
  <c r="M475" i="42"/>
  <c r="M474" i="42" s="1"/>
  <c r="M472" i="42"/>
  <c r="M471" i="42" s="1"/>
  <c r="M469" i="42"/>
  <c r="M468" i="42" s="1"/>
  <c r="M466" i="42"/>
  <c r="M465" i="42" s="1"/>
  <c r="M463" i="42"/>
  <c r="M462" i="42" s="1"/>
  <c r="M460" i="42"/>
  <c r="M459" i="42" s="1"/>
  <c r="M457" i="42"/>
  <c r="M456" i="42" s="1"/>
  <c r="M454" i="42"/>
  <c r="M453" i="42" s="1"/>
  <c r="M451" i="42"/>
  <c r="M450" i="42" s="1"/>
  <c r="M448" i="42"/>
  <c r="M447" i="42" s="1"/>
  <c r="M445" i="42"/>
  <c r="M444" i="42" s="1"/>
  <c r="M442" i="42"/>
  <c r="M441" i="42" s="1"/>
  <c r="M439" i="42"/>
  <c r="M438" i="42" s="1"/>
  <c r="M436" i="42"/>
  <c r="M435" i="42" s="1"/>
  <c r="M433" i="42"/>
  <c r="M432" i="42" s="1"/>
  <c r="M427" i="42"/>
  <c r="M426" i="42" s="1"/>
  <c r="M424" i="42"/>
  <c r="M423" i="42" s="1"/>
  <c r="M421" i="42"/>
  <c r="M420" i="42" s="1"/>
  <c r="M418" i="42"/>
  <c r="M417" i="42" s="1"/>
  <c r="M415" i="42"/>
  <c r="M414" i="42" s="1"/>
  <c r="M412" i="42"/>
  <c r="M411" i="42" s="1"/>
  <c r="M409" i="42"/>
  <c r="M408" i="42" s="1"/>
  <c r="M406" i="42"/>
  <c r="M405" i="42" s="1"/>
  <c r="M403" i="42"/>
  <c r="M402" i="42" s="1"/>
  <c r="M400" i="42"/>
  <c r="M399" i="42" s="1"/>
  <c r="M397" i="42"/>
  <c r="M396" i="42" s="1"/>
  <c r="M394" i="42"/>
  <c r="M393" i="42" s="1"/>
  <c r="M391" i="42"/>
  <c r="M390" i="42" s="1"/>
  <c r="M388" i="42"/>
  <c r="M387" i="42" s="1"/>
  <c r="M384" i="42"/>
  <c r="M383" i="42" s="1"/>
  <c r="M381" i="42"/>
  <c r="M380" i="42" s="1"/>
  <c r="M378" i="42"/>
  <c r="M377" i="42" s="1"/>
  <c r="M374" i="42"/>
  <c r="M373" i="42" s="1"/>
  <c r="M371" i="42"/>
  <c r="M370" i="42" s="1"/>
  <c r="M201" i="42"/>
  <c r="M178" i="42"/>
  <c r="M177" i="42" s="1"/>
  <c r="M224" i="42"/>
  <c r="M223" i="42"/>
  <c r="M187" i="42"/>
  <c r="M175" i="42"/>
  <c r="M174" i="42"/>
  <c r="M173" i="42"/>
  <c r="M171" i="42" s="1"/>
  <c r="M172" i="42"/>
  <c r="M164" i="42"/>
  <c r="M163" i="42"/>
  <c r="M162" i="42"/>
  <c r="M161" i="42"/>
  <c r="M160" i="42" s="1"/>
  <c r="M153" i="42"/>
  <c r="M152" i="42"/>
  <c r="M151" i="42"/>
  <c r="M150" i="42"/>
  <c r="M138" i="42"/>
  <c r="M137" i="42"/>
  <c r="M136" i="42"/>
  <c r="M135" i="42"/>
  <c r="M360" i="42"/>
  <c r="M359" i="42"/>
  <c r="M356" i="42"/>
  <c r="M355" i="42"/>
  <c r="M354" i="42" s="1"/>
  <c r="M352" i="42"/>
  <c r="M351" i="42"/>
  <c r="M348" i="42"/>
  <c r="M347" i="42"/>
  <c r="M326" i="42"/>
  <c r="M325" i="42" s="1"/>
  <c r="M236" i="42"/>
  <c r="M235" i="42"/>
  <c r="M234" i="42"/>
  <c r="M214" i="42"/>
  <c r="M213" i="42"/>
  <c r="M212" i="42"/>
  <c r="M209" i="42"/>
  <c r="M208" i="42"/>
  <c r="M207" i="42"/>
  <c r="M168" i="42"/>
  <c r="M167" i="42"/>
  <c r="M158" i="42"/>
  <c r="M157" i="42"/>
  <c r="M156" i="42"/>
  <c r="M147" i="42"/>
  <c r="M146" i="42"/>
  <c r="M144" i="42" s="1"/>
  <c r="M145" i="42"/>
  <c r="M132" i="42"/>
  <c r="M130" i="42"/>
  <c r="M127" i="42"/>
  <c r="M126" i="42"/>
  <c r="M125" i="42" s="1"/>
  <c r="M142" i="42"/>
  <c r="M141" i="42"/>
  <c r="M140" i="42" s="1"/>
  <c r="M182" i="42"/>
  <c r="M181" i="42"/>
  <c r="M180" i="42" s="1"/>
  <c r="M218" i="42"/>
  <c r="M217" i="42"/>
  <c r="M231" i="42"/>
  <c r="M229" i="42" s="1"/>
  <c r="M230" i="42"/>
  <c r="M239" i="42"/>
  <c r="M248" i="42"/>
  <c r="M247" i="42"/>
  <c r="M246" i="42" s="1"/>
  <c r="M252" i="42"/>
  <c r="M251" i="42"/>
  <c r="M256" i="42"/>
  <c r="M255" i="42"/>
  <c r="M319" i="42"/>
  <c r="M318" i="42" s="1"/>
  <c r="M316" i="42"/>
  <c r="M315" i="42" s="1"/>
  <c r="M313" i="42"/>
  <c r="M312" i="42" s="1"/>
  <c r="M310" i="42"/>
  <c r="M309" i="42" s="1"/>
  <c r="M307" i="42"/>
  <c r="M306" i="42" s="1"/>
  <c r="M304" i="42"/>
  <c r="M303" i="42" s="1"/>
  <c r="M301" i="42"/>
  <c r="M300" i="42" s="1"/>
  <c r="M298" i="42"/>
  <c r="M297" i="42" s="1"/>
  <c r="M295" i="42"/>
  <c r="M294" i="42" s="1"/>
  <c r="M292" i="42"/>
  <c r="M291" i="42" s="1"/>
  <c r="M289" i="42"/>
  <c r="M288" i="42" s="1"/>
  <c r="M286" i="42"/>
  <c r="M285" i="42" s="1"/>
  <c r="M283" i="42"/>
  <c r="M282" i="42" s="1"/>
  <c r="M280" i="42"/>
  <c r="M279" i="42" s="1"/>
  <c r="M277" i="42"/>
  <c r="M276" i="42" s="1"/>
  <c r="M274" i="42"/>
  <c r="M273" i="42" s="1"/>
  <c r="M271" i="42"/>
  <c r="M270" i="42" s="1"/>
  <c r="M268" i="42"/>
  <c r="M267" i="42" s="1"/>
  <c r="M265" i="42"/>
  <c r="M264" i="42" s="1"/>
  <c r="M262" i="42"/>
  <c r="M261" i="42" s="1"/>
  <c r="M259" i="42"/>
  <c r="M258" i="42" s="1"/>
  <c r="M227" i="42"/>
  <c r="M226" i="42" s="1"/>
  <c r="M204" i="42"/>
  <c r="M203" i="42" s="1"/>
  <c r="M194" i="42"/>
  <c r="M193" i="42"/>
  <c r="M191" i="42"/>
  <c r="M190" i="42" s="1"/>
  <c r="M123" i="42"/>
  <c r="M122" i="42" s="1"/>
  <c r="M116" i="42"/>
  <c r="M115" i="42" s="1"/>
  <c r="M113" i="42"/>
  <c r="M112" i="42" s="1"/>
  <c r="M110" i="42"/>
  <c r="M109" i="42" s="1"/>
  <c r="M107" i="42"/>
  <c r="M106" i="42"/>
  <c r="M104" i="42"/>
  <c r="M103" i="42" s="1"/>
  <c r="M101" i="42"/>
  <c r="M100" i="42" s="1"/>
  <c r="M98" i="42"/>
  <c r="M97" i="42" s="1"/>
  <c r="M95" i="42"/>
  <c r="M94" i="42" s="1"/>
  <c r="F364" i="42"/>
  <c r="M364" i="42" s="1"/>
  <c r="F363" i="42"/>
  <c r="M363" i="42"/>
  <c r="F344" i="42"/>
  <c r="M344" i="42" s="1"/>
  <c r="M343" i="42" s="1"/>
  <c r="F341" i="42"/>
  <c r="M341" i="42" s="1"/>
  <c r="F340" i="42"/>
  <c r="M340" i="42"/>
  <c r="F337" i="42"/>
  <c r="M337" i="42" s="1"/>
  <c r="M336" i="42" s="1"/>
  <c r="F334" i="42"/>
  <c r="M334" i="42" s="1"/>
  <c r="F333" i="42"/>
  <c r="M333" i="42" s="1"/>
  <c r="F330" i="42"/>
  <c r="M330" i="42" s="1"/>
  <c r="F329" i="42"/>
  <c r="M329" i="42" s="1"/>
  <c r="F323" i="42"/>
  <c r="M323" i="42" s="1"/>
  <c r="M322" i="42" s="1"/>
  <c r="F244" i="42"/>
  <c r="M244" i="42"/>
  <c r="F243" i="42"/>
  <c r="M243" i="42" s="1"/>
  <c r="M242" i="42" s="1"/>
  <c r="F240" i="42"/>
  <c r="M240" i="42" s="1"/>
  <c r="F222" i="42"/>
  <c r="M222" i="42"/>
  <c r="F221" i="42"/>
  <c r="M221" i="42" s="1"/>
  <c r="M220" i="42" s="1"/>
  <c r="F200" i="42"/>
  <c r="M200" i="42" s="1"/>
  <c r="F199" i="42"/>
  <c r="M199" i="42"/>
  <c r="F198" i="42"/>
  <c r="M198" i="42"/>
  <c r="F197" i="42"/>
  <c r="M197" i="42" s="1"/>
  <c r="F188" i="42"/>
  <c r="M188" i="42"/>
  <c r="F186" i="42"/>
  <c r="M186" i="42"/>
  <c r="F185" i="42"/>
  <c r="M185" i="42" s="1"/>
  <c r="F169" i="42"/>
  <c r="M169" i="42"/>
  <c r="F131" i="42"/>
  <c r="M131" i="42"/>
  <c r="F120" i="42"/>
  <c r="M120" i="42" s="1"/>
  <c r="F119" i="42"/>
  <c r="M119" i="42" s="1"/>
  <c r="F92" i="42"/>
  <c r="M92" i="42"/>
  <c r="M91" i="42" s="1"/>
  <c r="F89" i="42"/>
  <c r="M89" i="42" s="1"/>
  <c r="F88" i="42"/>
  <c r="M88" i="42" s="1"/>
  <c r="F85" i="42"/>
  <c r="M85" i="42" s="1"/>
  <c r="F84" i="42"/>
  <c r="M84" i="42" s="1"/>
  <c r="F83" i="42"/>
  <c r="M83" i="42" s="1"/>
  <c r="M228" i="15"/>
  <c r="M227" i="15" s="1"/>
  <c r="M225" i="15"/>
  <c r="M224" i="15" s="1"/>
  <c r="M222" i="15"/>
  <c r="M221" i="15" s="1"/>
  <c r="M219" i="15"/>
  <c r="M218" i="15" s="1"/>
  <c r="M216" i="15"/>
  <c r="M215" i="15" s="1"/>
  <c r="M213" i="15"/>
  <c r="M212" i="15" s="1"/>
  <c r="M210" i="15"/>
  <c r="M209" i="15" s="1"/>
  <c r="M207" i="15"/>
  <c r="M206" i="15" s="1"/>
  <c r="M204" i="15"/>
  <c r="M203" i="15"/>
  <c r="M201" i="15"/>
  <c r="M200" i="15" s="1"/>
  <c r="M198" i="15"/>
  <c r="M197" i="15" s="1"/>
  <c r="M195" i="15"/>
  <c r="M194" i="15" s="1"/>
  <c r="M192" i="15"/>
  <c r="M191" i="15" s="1"/>
  <c r="M189" i="15"/>
  <c r="M188" i="15" s="1"/>
  <c r="M186" i="15"/>
  <c r="M185" i="15"/>
  <c r="M183" i="15"/>
  <c r="M182" i="15" s="1"/>
  <c r="M180" i="15"/>
  <c r="M179" i="15" s="1"/>
  <c r="M177" i="15"/>
  <c r="M176" i="15" s="1"/>
  <c r="M174" i="15"/>
  <c r="M173" i="15" s="1"/>
  <c r="M171" i="15"/>
  <c r="M170" i="15" s="1"/>
  <c r="M167" i="15"/>
  <c r="M166" i="15"/>
  <c r="M164" i="15"/>
  <c r="M163" i="15" s="1"/>
  <c r="M145" i="15"/>
  <c r="M144" i="15" s="1"/>
  <c r="M142" i="15"/>
  <c r="M141" i="15" s="1"/>
  <c r="M139" i="15"/>
  <c r="M138" i="15" s="1"/>
  <c r="M136" i="15"/>
  <c r="M135" i="15" s="1"/>
  <c r="M125" i="15"/>
  <c r="M124" i="15"/>
  <c r="M122" i="15"/>
  <c r="M121" i="15" s="1"/>
  <c r="M119" i="15"/>
  <c r="M118" i="15" s="1"/>
  <c r="M116" i="15"/>
  <c r="M115" i="15" s="1"/>
  <c r="M102" i="15"/>
  <c r="M101" i="15" s="1"/>
  <c r="M87" i="15"/>
  <c r="M86" i="15" s="1"/>
  <c r="M161" i="15"/>
  <c r="M160" i="15"/>
  <c r="M159" i="15" s="1"/>
  <c r="M157" i="15"/>
  <c r="M155" i="15" s="1"/>
  <c r="M156" i="15"/>
  <c r="M153" i="15"/>
  <c r="M152" i="15"/>
  <c r="M149" i="15"/>
  <c r="M148" i="15"/>
  <c r="M133" i="15"/>
  <c r="M132" i="15"/>
  <c r="M129" i="15"/>
  <c r="M128" i="15"/>
  <c r="M110" i="15"/>
  <c r="M109" i="15"/>
  <c r="M108" i="15" s="1"/>
  <c r="M106" i="15"/>
  <c r="M105" i="15"/>
  <c r="M99" i="15"/>
  <c r="M95" i="15"/>
  <c r="M91" i="15"/>
  <c r="M84" i="15"/>
  <c r="M83" i="15"/>
  <c r="M80" i="15"/>
  <c r="M79" i="15"/>
  <c r="M78" i="15" s="1"/>
  <c r="M76" i="15"/>
  <c r="M75" i="15"/>
  <c r="M72" i="15"/>
  <c r="M70" i="15" s="1"/>
  <c r="F113" i="15"/>
  <c r="M113" i="15" s="1"/>
  <c r="M112" i="15" s="1"/>
  <c r="F98" i="15"/>
  <c r="M98" i="15" s="1"/>
  <c r="F94" i="15"/>
  <c r="M94" i="15" s="1"/>
  <c r="M93" i="15" s="1"/>
  <c r="F90" i="15"/>
  <c r="M90" i="15" s="1"/>
  <c r="M89" i="15" s="1"/>
  <c r="M71" i="15"/>
  <c r="M77" i="42"/>
  <c r="M76" i="42"/>
  <c r="M74" i="42"/>
  <c r="M73" i="42" s="1"/>
  <c r="F71" i="42"/>
  <c r="M71" i="42" s="1"/>
  <c r="M70" i="42" s="1"/>
  <c r="M68" i="42"/>
  <c r="M67" i="42"/>
  <c r="M36" i="42"/>
  <c r="M35" i="42" s="1"/>
  <c r="C238" i="15"/>
  <c r="M32" i="42"/>
  <c r="M31" i="42" s="1"/>
  <c r="F76" i="5" s="1"/>
  <c r="H76" i="5" s="1"/>
  <c r="M29" i="42"/>
  <c r="M28" i="42" s="1"/>
  <c r="M26" i="42"/>
  <c r="M25" i="42" s="1"/>
  <c r="M23" i="42"/>
  <c r="M22" i="42" s="1"/>
  <c r="M20" i="42"/>
  <c r="M19" i="42" s="1"/>
  <c r="M56" i="15"/>
  <c r="M55" i="15" s="1"/>
  <c r="M53" i="15"/>
  <c r="M52" i="15" s="1"/>
  <c r="M49" i="15"/>
  <c r="M50" i="15"/>
  <c r="M48" i="15"/>
  <c r="M45" i="15"/>
  <c r="M44" i="15" s="1"/>
  <c r="M42" i="15"/>
  <c r="M41" i="15" s="1"/>
  <c r="M196" i="47"/>
  <c r="M228" i="47"/>
  <c r="M653" i="47"/>
  <c r="M665" i="47"/>
  <c r="M605" i="47"/>
  <c r="H493" i="5"/>
  <c r="H487" i="5"/>
  <c r="H453" i="5"/>
  <c r="H444" i="5"/>
  <c r="H439" i="5"/>
  <c r="H423" i="5"/>
  <c r="H449" i="5"/>
  <c r="H451" i="5"/>
  <c r="H436" i="5"/>
  <c r="H431" i="5"/>
  <c r="H427" i="5"/>
  <c r="H414" i="5"/>
  <c r="M81" i="47"/>
  <c r="M66" i="47"/>
  <c r="B38" i="23"/>
  <c r="M127" i="15"/>
  <c r="M147" i="15"/>
  <c r="B36" i="23"/>
  <c r="H106" i="5"/>
  <c r="H77" i="5"/>
  <c r="J106" i="5"/>
  <c r="M211" i="42"/>
  <c r="M250" i="42"/>
  <c r="M346" i="42"/>
  <c r="M216" i="42"/>
  <c r="M358" i="42"/>
  <c r="F10" i="23"/>
  <c r="F11" i="23"/>
  <c r="F5574" i="33"/>
  <c r="F5573" i="33"/>
  <c r="G5575" i="33" s="1"/>
  <c r="F5568" i="33"/>
  <c r="F5562" i="33"/>
  <c r="F5561" i="33"/>
  <c r="G5563" i="33" s="1"/>
  <c r="F5551" i="33"/>
  <c r="F5550" i="33"/>
  <c r="G5552" i="33" s="1"/>
  <c r="F5538" i="33"/>
  <c r="F5537" i="33"/>
  <c r="G5539" i="33" s="1"/>
  <c r="F5527" i="33"/>
  <c r="F5526" i="33"/>
  <c r="G5528" i="33" s="1"/>
  <c r="F5514" i="33"/>
  <c r="F5513" i="33"/>
  <c r="G5515" i="33" s="1"/>
  <c r="D5514" i="33"/>
  <c r="G5514" i="33" s="1"/>
  <c r="C5514" i="33"/>
  <c r="D5513" i="33"/>
  <c r="G5513" i="33" s="1"/>
  <c r="C5513" i="33"/>
  <c r="D5527" i="33"/>
  <c r="G5527" i="33" s="1"/>
  <c r="C5527" i="33"/>
  <c r="D5526" i="33"/>
  <c r="G5526" i="33" s="1"/>
  <c r="C5526" i="33"/>
  <c r="D5538" i="33"/>
  <c r="G5538" i="33" s="1"/>
  <c r="C5538" i="33"/>
  <c r="D5537" i="33"/>
  <c r="G5537" i="33" s="1"/>
  <c r="C5537" i="33"/>
  <c r="D5551" i="33"/>
  <c r="G5551" i="33" s="1"/>
  <c r="C5551" i="33"/>
  <c r="D5550" i="33"/>
  <c r="G5550" i="33" s="1"/>
  <c r="C5550" i="33"/>
  <c r="D5562" i="33"/>
  <c r="G5562" i="33" s="1"/>
  <c r="C5562" i="33"/>
  <c r="D5561" i="33"/>
  <c r="G5561" i="33" s="1"/>
  <c r="C5561" i="33"/>
  <c r="D5574" i="33"/>
  <c r="G5574" i="33" s="1"/>
  <c r="C5574" i="33"/>
  <c r="D5573" i="33"/>
  <c r="G5573" i="33" s="1"/>
  <c r="C5573" i="33"/>
  <c r="D5568" i="33"/>
  <c r="G5568" i="33" s="1"/>
  <c r="C5568" i="33"/>
  <c r="B30" i="23"/>
  <c r="B32" i="23"/>
  <c r="B34" i="23"/>
  <c r="J290" i="5"/>
  <c r="B41" i="23"/>
  <c r="B45" i="23"/>
  <c r="B49" i="23"/>
  <c r="J431" i="5"/>
  <c r="J439" i="5"/>
  <c r="B51" i="23"/>
  <c r="J414" i="5"/>
  <c r="J453" i="5"/>
  <c r="J423" i="5"/>
  <c r="J444" i="5"/>
  <c r="J487" i="5"/>
  <c r="J451" i="5"/>
  <c r="J427" i="5"/>
  <c r="J449" i="5"/>
  <c r="J493" i="5"/>
  <c r="B43" i="23"/>
  <c r="B47" i="23"/>
  <c r="J436" i="5"/>
  <c r="H313" i="5"/>
  <c r="H358" i="5"/>
  <c r="H363" i="5"/>
  <c r="H381" i="5"/>
  <c r="H371" i="5"/>
  <c r="H375" i="5"/>
  <c r="H373" i="5"/>
  <c r="H350" i="5"/>
  <c r="H340" i="5"/>
  <c r="H336" i="5"/>
  <c r="H332" i="5"/>
  <c r="H315" i="5"/>
  <c r="H382" i="5"/>
  <c r="H393" i="5"/>
  <c r="H369" i="5"/>
  <c r="H377" i="5"/>
  <c r="H407" i="5"/>
  <c r="H342" i="5"/>
  <c r="H395" i="5"/>
  <c r="H403" i="5"/>
  <c r="H399" i="5"/>
  <c r="H334" i="5"/>
  <c r="H360" i="5"/>
  <c r="H338" i="5"/>
  <c r="H397" i="5"/>
  <c r="H405" i="5"/>
  <c r="H396" i="5"/>
  <c r="H406" i="5"/>
  <c r="H401" i="5"/>
  <c r="H408" i="5"/>
  <c r="H323" i="5"/>
  <c r="H410" i="5"/>
  <c r="H404" i="5"/>
  <c r="H343" i="5"/>
  <c r="H320" i="5"/>
  <c r="H378" i="5"/>
  <c r="H326" i="5"/>
  <c r="H339" i="5"/>
  <c r="H355" i="5"/>
  <c r="H300" i="5"/>
  <c r="H290" i="5"/>
  <c r="H367" i="5"/>
  <c r="H356" i="5"/>
  <c r="H344" i="5"/>
  <c r="H322" i="5"/>
  <c r="H314" i="5"/>
  <c r="H299" i="5"/>
  <c r="H366" i="5"/>
  <c r="H330" i="5"/>
  <c r="H372" i="5"/>
  <c r="H354" i="5"/>
  <c r="H349" i="5"/>
  <c r="H359" i="5"/>
  <c r="H291" i="5"/>
  <c r="H364" i="5"/>
  <c r="H357" i="5"/>
  <c r="H345" i="5"/>
  <c r="H352" i="5"/>
  <c r="H316" i="5"/>
  <c r="H374" i="5"/>
  <c r="H370" i="5"/>
  <c r="H368" i="5"/>
  <c r="H301" i="5"/>
  <c r="H335" i="5"/>
  <c r="H347" i="5"/>
  <c r="H306" i="5"/>
  <c r="H398" i="5"/>
  <c r="H383" i="5"/>
  <c r="H400" i="5"/>
  <c r="H409" i="5"/>
  <c r="H394" i="5"/>
  <c r="H331" i="5"/>
  <c r="H361" i="5"/>
  <c r="H318" i="5"/>
  <c r="H353" i="5"/>
  <c r="H362" i="5"/>
  <c r="H337" i="5"/>
  <c r="H376" i="5"/>
  <c r="H319" i="5"/>
  <c r="H321" i="5"/>
  <c r="H308" i="5"/>
  <c r="H317" i="5"/>
  <c r="H346" i="5"/>
  <c r="H333" i="5"/>
  <c r="H348" i="5"/>
  <c r="H325" i="5"/>
  <c r="H365" i="5"/>
  <c r="B5" i="23"/>
  <c r="B4" i="23"/>
  <c r="B3" i="23"/>
  <c r="B2" i="23"/>
  <c r="T18" i="23"/>
  <c r="F23" i="15" s="1"/>
  <c r="M23" i="15" s="1"/>
  <c r="M22" i="15" s="1"/>
  <c r="C16" i="35"/>
  <c r="F31" i="35" s="1"/>
  <c r="F35" i="35" s="1"/>
  <c r="D16" i="36"/>
  <c r="F31" i="36" s="1"/>
  <c r="F35" i="36" s="1"/>
  <c r="F51" i="40"/>
  <c r="E51" i="40"/>
  <c r="D51" i="40"/>
  <c r="C51" i="40"/>
  <c r="F47" i="40"/>
  <c r="E47" i="40"/>
  <c r="D47" i="40"/>
  <c r="D28" i="40"/>
  <c r="D40" i="40"/>
  <c r="C47" i="40"/>
  <c r="F40" i="40"/>
  <c r="E40" i="40"/>
  <c r="C40" i="40"/>
  <c r="C52" i="40" s="1"/>
  <c r="F28" i="40"/>
  <c r="E28" i="40"/>
  <c r="C28" i="40"/>
  <c r="T25" i="23"/>
  <c r="T27" i="23"/>
  <c r="H26" i="5"/>
  <c r="D12" i="23"/>
  <c r="D11" i="23"/>
  <c r="B11" i="23"/>
  <c r="A11" i="23"/>
  <c r="A2" i="23"/>
  <c r="A3" i="23"/>
  <c r="A4" i="23"/>
  <c r="A5" i="23"/>
  <c r="A10" i="23"/>
  <c r="B10" i="23"/>
  <c r="D10" i="23"/>
  <c r="A21" i="23"/>
  <c r="B21" i="23" s="1"/>
  <c r="C4802" i="33"/>
  <c r="D4774" i="33"/>
  <c r="C4774" i="33"/>
  <c r="D4487" i="33"/>
  <c r="C4487" i="33"/>
  <c r="D4443" i="33"/>
  <c r="D4219" i="33"/>
  <c r="C4219" i="33"/>
  <c r="D4174" i="33"/>
  <c r="D3948" i="33"/>
  <c r="C3948" i="33"/>
  <c r="D3925" i="33"/>
  <c r="D3810" i="33"/>
  <c r="C3810" i="33"/>
  <c r="D3787" i="33"/>
  <c r="D3670" i="33"/>
  <c r="C3670" i="33"/>
  <c r="D3645" i="33"/>
  <c r="D3530" i="33"/>
  <c r="C3530" i="33"/>
  <c r="D3507" i="33"/>
  <c r="D3247" i="33"/>
  <c r="C3247" i="33"/>
  <c r="C3301" i="33"/>
  <c r="D3095" i="33"/>
  <c r="C3095" i="33"/>
  <c r="C3072" i="33"/>
  <c r="D5398" i="33"/>
  <c r="C5398" i="33"/>
  <c r="F5375" i="33"/>
  <c r="D5306" i="33"/>
  <c r="C5306" i="33"/>
  <c r="F5283" i="33"/>
  <c r="F5214" i="33"/>
  <c r="C5214" i="33"/>
  <c r="D5191" i="33"/>
  <c r="C5122" i="33"/>
  <c r="F5122" i="33"/>
  <c r="H351" i="5"/>
  <c r="H324" i="5"/>
  <c r="H309" i="5"/>
  <c r="H288" i="5"/>
  <c r="H286" i="5"/>
  <c r="H285" i="5"/>
  <c r="H287" i="5"/>
  <c r="J399" i="5"/>
  <c r="K399" i="5" s="1"/>
  <c r="J393" i="5"/>
  <c r="K393" i="5" s="1"/>
  <c r="J407" i="5"/>
  <c r="K407" i="5" s="1"/>
  <c r="J395" i="5"/>
  <c r="K395" i="5" s="1"/>
  <c r="J382" i="5"/>
  <c r="K382" i="5" s="1"/>
  <c r="J403" i="5"/>
  <c r="K403" i="5" s="1"/>
  <c r="J398" i="5"/>
  <c r="K398" i="5" s="1"/>
  <c r="J400" i="5"/>
  <c r="K400" i="5" s="1"/>
  <c r="J409" i="5"/>
  <c r="K409" i="5" s="1"/>
  <c r="J394" i="5"/>
  <c r="K394" i="5" s="1"/>
  <c r="J408" i="5"/>
  <c r="K408" i="5" s="1"/>
  <c r="J401" i="5"/>
  <c r="K401" i="5" s="1"/>
  <c r="J404" i="5"/>
  <c r="K404" i="5" s="1"/>
  <c r="J410" i="5"/>
  <c r="K410" i="5" s="1"/>
  <c r="J405" i="5"/>
  <c r="K405" i="5" s="1"/>
  <c r="J406" i="5"/>
  <c r="K406" i="5" s="1"/>
  <c r="J397" i="5"/>
  <c r="K397" i="5" s="1"/>
  <c r="J383" i="5"/>
  <c r="K383" i="5" s="1"/>
  <c r="J396" i="5"/>
  <c r="K396" i="5" s="1"/>
  <c r="J371" i="5"/>
  <c r="K371" i="5" s="1"/>
  <c r="J363" i="5"/>
  <c r="K363" i="5" s="1"/>
  <c r="J332" i="5"/>
  <c r="K332" i="5" s="1"/>
  <c r="J323" i="5"/>
  <c r="K323" i="5" s="1"/>
  <c r="J356" i="5"/>
  <c r="K356" i="5" s="1"/>
  <c r="J315" i="5"/>
  <c r="K315" i="5" s="1"/>
  <c r="J373" i="5"/>
  <c r="K373" i="5" s="1"/>
  <c r="J367" i="5"/>
  <c r="K367" i="5" s="1"/>
  <c r="J360" i="5"/>
  <c r="K360" i="5" s="1"/>
  <c r="J336" i="5"/>
  <c r="K336" i="5" s="1"/>
  <c r="J358" i="5"/>
  <c r="K358" i="5" s="1"/>
  <c r="J344" i="5"/>
  <c r="K344" i="5" s="1"/>
  <c r="J381" i="5"/>
  <c r="K381" i="5" s="1"/>
  <c r="J350" i="5"/>
  <c r="K350" i="5" s="1"/>
  <c r="J326" i="5"/>
  <c r="K326" i="5" s="1"/>
  <c r="J377" i="5"/>
  <c r="K377" i="5" s="1"/>
  <c r="J342" i="5"/>
  <c r="K342" i="5" s="1"/>
  <c r="J334" i="5"/>
  <c r="K334" i="5" s="1"/>
  <c r="J340" i="5"/>
  <c r="K340" i="5" s="1"/>
  <c r="J368" i="5"/>
  <c r="K368" i="5" s="1"/>
  <c r="J353" i="5"/>
  <c r="K353" i="5" s="1"/>
  <c r="J378" i="5"/>
  <c r="K378" i="5" s="1"/>
  <c r="J343" i="5"/>
  <c r="K343" i="5" s="1"/>
  <c r="J375" i="5"/>
  <c r="K375" i="5" s="1"/>
  <c r="J339" i="5"/>
  <c r="K339" i="5" s="1"/>
  <c r="J352" i="5"/>
  <c r="K352" i="5" s="1"/>
  <c r="J357" i="5"/>
  <c r="K357" i="5" s="1"/>
  <c r="J366" i="5"/>
  <c r="K366" i="5" s="1"/>
  <c r="J330" i="5"/>
  <c r="K330" i="5" s="1"/>
  <c r="J349" i="5"/>
  <c r="K349" i="5" s="1"/>
  <c r="J372" i="5"/>
  <c r="K372" i="5" s="1"/>
  <c r="J354" i="5"/>
  <c r="K354" i="5" s="1"/>
  <c r="J369" i="5"/>
  <c r="K369" i="5" s="1"/>
  <c r="J338" i="5"/>
  <c r="K338" i="5" s="1"/>
  <c r="J313" i="5"/>
  <c r="K313" i="5" s="1"/>
  <c r="J359" i="5"/>
  <c r="K359" i="5" s="1"/>
  <c r="J364" i="5"/>
  <c r="K364" i="5" s="1"/>
  <c r="J322" i="5"/>
  <c r="K322" i="5" s="1"/>
  <c r="J320" i="5"/>
  <c r="K320" i="5" s="1"/>
  <c r="J337" i="5"/>
  <c r="K337" i="5" s="1"/>
  <c r="J324" i="5"/>
  <c r="K324" i="5" s="1"/>
  <c r="J374" i="5"/>
  <c r="K374" i="5" s="1"/>
  <c r="J345" i="5"/>
  <c r="K345" i="5" s="1"/>
  <c r="J333" i="5"/>
  <c r="K333" i="5" s="1"/>
  <c r="J348" i="5"/>
  <c r="K348" i="5" s="1"/>
  <c r="J318" i="5"/>
  <c r="K318" i="5" s="1"/>
  <c r="J370" i="5"/>
  <c r="K370" i="5" s="1"/>
  <c r="J351" i="5"/>
  <c r="K351" i="5" s="1"/>
  <c r="J355" i="5"/>
  <c r="K355" i="5" s="1"/>
  <c r="J347" i="5"/>
  <c r="K347" i="5" s="1"/>
  <c r="J335" i="5"/>
  <c r="K335" i="5" s="1"/>
  <c r="J316" i="5"/>
  <c r="K316" i="5" s="1"/>
  <c r="J321" i="5"/>
  <c r="K321" i="5" s="1"/>
  <c r="J317" i="5"/>
  <c r="K317" i="5" s="1"/>
  <c r="J346" i="5"/>
  <c r="K346" i="5" s="1"/>
  <c r="J331" i="5"/>
  <c r="K331" i="5" s="1"/>
  <c r="J361" i="5"/>
  <c r="K361" i="5" s="1"/>
  <c r="J325" i="5"/>
  <c r="K325" i="5" s="1"/>
  <c r="J365" i="5"/>
  <c r="K365" i="5" s="1"/>
  <c r="J376" i="5"/>
  <c r="K376" i="5" s="1"/>
  <c r="J319" i="5"/>
  <c r="K319" i="5" s="1"/>
  <c r="J362" i="5"/>
  <c r="K362" i="5" s="1"/>
  <c r="J314" i="5"/>
  <c r="K314" i="5" s="1"/>
  <c r="J299" i="5"/>
  <c r="K299" i="5" s="1"/>
  <c r="J301" i="5"/>
  <c r="K301" i="5" s="1"/>
  <c r="J300" i="5"/>
  <c r="K300" i="5" s="1"/>
  <c r="J308" i="5"/>
  <c r="K308" i="5" s="1"/>
  <c r="J306" i="5"/>
  <c r="K306" i="5" s="1"/>
  <c r="J291" i="5"/>
  <c r="K291" i="5" s="1"/>
  <c r="K290" i="5" s="1"/>
  <c r="F59" i="38" s="1"/>
  <c r="F26" i="15"/>
  <c r="M26" i="15" s="1"/>
  <c r="M25" i="15" s="1"/>
  <c r="F33" i="15"/>
  <c r="M33" i="15" s="1"/>
  <c r="M32" i="15" s="1"/>
  <c r="G65" i="15"/>
  <c r="M65" i="15" s="1"/>
  <c r="M64" i="15" s="1"/>
  <c r="F39" i="15"/>
  <c r="M39" i="15" s="1"/>
  <c r="M38" i="15" s="1"/>
  <c r="F29" i="15"/>
  <c r="M29" i="15" s="1"/>
  <c r="M28" i="15" s="1"/>
  <c r="F36" i="15"/>
  <c r="M36" i="15" s="1"/>
  <c r="M35" i="15" s="1"/>
  <c r="H261" i="5"/>
  <c r="H231" i="5"/>
  <c r="H234" i="5"/>
  <c r="H253" i="5"/>
  <c r="H260" i="5"/>
  <c r="H195" i="5"/>
  <c r="H262" i="5"/>
  <c r="J77" i="5"/>
  <c r="F20" i="15"/>
  <c r="M20" i="15" s="1"/>
  <c r="M19" i="15" s="1"/>
  <c r="F62" i="15"/>
  <c r="M62" i="15" s="1"/>
  <c r="M61" i="15" s="1"/>
  <c r="T21" i="23"/>
  <c r="J26" i="5"/>
  <c r="H264" i="5"/>
  <c r="J309" i="5"/>
  <c r="K309" i="5" s="1"/>
  <c r="J157" i="5"/>
  <c r="K157" i="5" s="1"/>
  <c r="J286" i="5"/>
  <c r="K286" i="5" s="1"/>
  <c r="J288" i="5"/>
  <c r="K288" i="5" s="1"/>
  <c r="J285" i="5"/>
  <c r="K285" i="5" s="1"/>
  <c r="J287" i="5"/>
  <c r="K287" i="5" s="1"/>
  <c r="B27" i="23"/>
  <c r="B25" i="23"/>
  <c r="J521" i="5"/>
  <c r="K521" i="5" s="1"/>
  <c r="H521" i="5"/>
  <c r="H511" i="5"/>
  <c r="J511" i="5"/>
  <c r="K511" i="5" s="1"/>
  <c r="H524" i="5"/>
  <c r="J524" i="5"/>
  <c r="K524" i="5" s="1"/>
  <c r="H517" i="5"/>
  <c r="J517" i="5"/>
  <c r="K517" i="5" s="1"/>
  <c r="J512" i="5"/>
  <c r="K512" i="5" s="1"/>
  <c r="H512" i="5"/>
  <c r="J513" i="5"/>
  <c r="K513" i="5" s="1"/>
  <c r="H513" i="5"/>
  <c r="J516" i="5"/>
  <c r="K516" i="5" s="1"/>
  <c r="H516" i="5"/>
  <c r="J515" i="5"/>
  <c r="K515" i="5" s="1"/>
  <c r="H515" i="5"/>
  <c r="J520" i="5"/>
  <c r="K520" i="5" s="1"/>
  <c r="H520" i="5"/>
  <c r="J518" i="5"/>
  <c r="K518" i="5" s="1"/>
  <c r="H518" i="5"/>
  <c r="J519" i="5"/>
  <c r="K519" i="5" s="1"/>
  <c r="H519" i="5"/>
  <c r="J510" i="5"/>
  <c r="K510" i="5" s="1"/>
  <c r="H510" i="5"/>
  <c r="H522" i="5"/>
  <c r="J522" i="5"/>
  <c r="K522" i="5" s="1"/>
  <c r="J514" i="5"/>
  <c r="K514" i="5" s="1"/>
  <c r="H514" i="5"/>
  <c r="J260" i="5"/>
  <c r="K260" i="5" s="1"/>
  <c r="J253" i="5"/>
  <c r="K253" i="5" s="1"/>
  <c r="J231" i="5"/>
  <c r="K231" i="5" s="1"/>
  <c r="J195" i="5"/>
  <c r="K195" i="5" s="1"/>
  <c r="J262" i="5"/>
  <c r="K262" i="5" s="1"/>
  <c r="J261" i="5"/>
  <c r="K261" i="5" s="1"/>
  <c r="J234" i="5"/>
  <c r="K234" i="5" s="1"/>
  <c r="J113" i="5"/>
  <c r="J114" i="5"/>
  <c r="J76" i="5"/>
  <c r="J74" i="5"/>
  <c r="K74" i="5" s="1"/>
  <c r="J75" i="5"/>
  <c r="K75" i="5" s="1"/>
  <c r="J73" i="5"/>
  <c r="K73" i="5" s="1"/>
  <c r="J159" i="5"/>
  <c r="K159" i="5" s="1"/>
  <c r="J161" i="5"/>
  <c r="K161" i="5" s="1"/>
  <c r="J135" i="5"/>
  <c r="K135" i="5" s="1"/>
  <c r="J134" i="5"/>
  <c r="K134" i="5" s="1"/>
  <c r="J133" i="5"/>
  <c r="K133" i="5" s="1"/>
  <c r="J139" i="5"/>
  <c r="K139" i="5" s="1"/>
  <c r="J162" i="5"/>
  <c r="K162" i="5" s="1"/>
  <c r="J160" i="5"/>
  <c r="K160" i="5" s="1"/>
  <c r="J121" i="5"/>
  <c r="J119" i="5"/>
  <c r="K119" i="5" s="1"/>
  <c r="J120" i="5"/>
  <c r="J62" i="5"/>
  <c r="K62" i="5" s="1"/>
  <c r="J61" i="5"/>
  <c r="K61" i="5" s="1"/>
  <c r="J55" i="5"/>
  <c r="K55" i="5" s="1"/>
  <c r="J59" i="5"/>
  <c r="K59" i="5" s="1"/>
  <c r="J51" i="5"/>
  <c r="K51" i="5" s="1"/>
  <c r="J43" i="5"/>
  <c r="K43" i="5" s="1"/>
  <c r="J58" i="5"/>
  <c r="K58" i="5" s="1"/>
  <c r="J60" i="5"/>
  <c r="K60" i="5" s="1"/>
  <c r="J46" i="5"/>
  <c r="K46" i="5" s="1"/>
  <c r="J56" i="5"/>
  <c r="K56" i="5" s="1"/>
  <c r="J48" i="5"/>
  <c r="K48" i="5" s="1"/>
  <c r="J49" i="5"/>
  <c r="K49" i="5" s="1"/>
  <c r="J37" i="5"/>
  <c r="K37" i="5" s="1"/>
  <c r="J54" i="5"/>
  <c r="K54" i="5" s="1"/>
  <c r="J42" i="5"/>
  <c r="K42" i="5" s="1"/>
  <c r="J40" i="5"/>
  <c r="K40" i="5" s="1"/>
  <c r="J53" i="5"/>
  <c r="K53" i="5" s="1"/>
  <c r="J45" i="5"/>
  <c r="K45" i="5" s="1"/>
  <c r="J47" i="5"/>
  <c r="K47" i="5" s="1"/>
  <c r="J57" i="5"/>
  <c r="K57" i="5" s="1"/>
  <c r="J41" i="5"/>
  <c r="K41" i="5" s="1"/>
  <c r="J50" i="5"/>
  <c r="K50" i="5" s="1"/>
  <c r="J52" i="5"/>
  <c r="K52" i="5" s="1"/>
  <c r="J44" i="5"/>
  <c r="K44" i="5" s="1"/>
  <c r="H72" i="5"/>
  <c r="H27" i="5"/>
  <c r="K22" i="5"/>
  <c r="J112" i="5"/>
  <c r="K112" i="5" s="1"/>
  <c r="H111" i="5"/>
  <c r="H78" i="5"/>
  <c r="G5567" i="33"/>
  <c r="G5519" i="33"/>
  <c r="G5543" i="33"/>
  <c r="J32" i="5"/>
  <c r="K32" i="5" s="1"/>
  <c r="J31" i="5"/>
  <c r="K31" i="5" s="1"/>
  <c r="K21" i="5"/>
  <c r="H268" i="5"/>
  <c r="J268" i="5"/>
  <c r="K268" i="5" s="1"/>
  <c r="J264" i="5"/>
  <c r="K264" i="5" s="1"/>
  <c r="J265" i="5"/>
  <c r="K265" i="5" s="1"/>
  <c r="K25" i="5"/>
  <c r="H62" i="5"/>
  <c r="H61" i="5"/>
  <c r="H59" i="5"/>
  <c r="H58" i="5"/>
  <c r="H60" i="5"/>
  <c r="H57" i="5"/>
  <c r="H56" i="5"/>
  <c r="H48" i="5"/>
  <c r="H53" i="5"/>
  <c r="H54" i="5"/>
  <c r="H55" i="5"/>
  <c r="H46" i="5"/>
  <c r="H52" i="5"/>
  <c r="H51" i="5"/>
  <c r="H45" i="5"/>
  <c r="H43" i="5"/>
  <c r="H50" i="5"/>
  <c r="H49" i="5"/>
  <c r="H159" i="5"/>
  <c r="H47" i="5"/>
  <c r="H44" i="5"/>
  <c r="H42" i="5"/>
  <c r="H40" i="5"/>
  <c r="H41" i="5"/>
  <c r="H37" i="5"/>
  <c r="H157" i="5"/>
  <c r="H75" i="5"/>
  <c r="H119" i="5"/>
  <c r="H160" i="5"/>
  <c r="H161" i="5"/>
  <c r="H162" i="5"/>
  <c r="H134" i="5"/>
  <c r="H135" i="5"/>
  <c r="H133" i="5"/>
  <c r="H125" i="5"/>
  <c r="H127" i="5"/>
  <c r="H126" i="5"/>
  <c r="H121" i="5"/>
  <c r="H107" i="5"/>
  <c r="J107" i="5"/>
  <c r="K107" i="5" s="1"/>
  <c r="K106" i="5" s="1"/>
  <c r="F38" i="38" s="1"/>
  <c r="H73" i="5"/>
  <c r="H74" i="5"/>
  <c r="J72" i="5"/>
  <c r="K72" i="5" s="1"/>
  <c r="K24" i="5"/>
  <c r="J27" i="5"/>
  <c r="K27" i="5" s="1"/>
  <c r="K26" i="5" s="1"/>
  <c r="F21" i="38" s="1"/>
  <c r="H112" i="5"/>
  <c r="J78" i="5"/>
  <c r="K78" i="5" s="1"/>
  <c r="J111" i="5"/>
  <c r="K111" i="5" s="1"/>
  <c r="H32" i="5"/>
  <c r="H31" i="5"/>
  <c r="E612" i="10"/>
  <c r="F612" i="10"/>
  <c r="M69" i="34"/>
  <c r="F1722" i="33" s="1"/>
  <c r="G1722" i="33" s="1"/>
  <c r="G1725" i="33" s="1"/>
  <c r="M91" i="34"/>
  <c r="F2326" i="33" s="1"/>
  <c r="G2326" i="33" s="1"/>
  <c r="G2328" i="33" s="1"/>
  <c r="M109" i="34"/>
  <c r="F2758" i="33" s="1"/>
  <c r="G2758" i="33" s="1"/>
  <c r="G2760" i="33" s="1"/>
  <c r="G2775" i="33" s="1"/>
  <c r="F2755" i="33" s="1"/>
  <c r="G250" i="5" s="1"/>
  <c r="H250" i="5" s="1"/>
  <c r="M90" i="34"/>
  <c r="F2302" i="33" s="1"/>
  <c r="G2302" i="33" s="1"/>
  <c r="G2304" i="33" s="1"/>
  <c r="G2319" i="33" s="1"/>
  <c r="F2299" i="33" s="1"/>
  <c r="G229" i="5" s="1"/>
  <c r="M77" i="34"/>
  <c r="F1909" i="33" s="1"/>
  <c r="G1909" i="33" s="1"/>
  <c r="G1911" i="33" s="1"/>
  <c r="M83" i="34"/>
  <c r="F2047" i="33"/>
  <c r="G2047" i="33" s="1"/>
  <c r="G2049" i="33" s="1"/>
  <c r="G2063" i="33" s="1"/>
  <c r="F2044" i="33" s="1"/>
  <c r="G224" i="5" s="1"/>
  <c r="M93" i="34"/>
  <c r="F2374" i="33" s="1"/>
  <c r="G2374" i="33" s="1"/>
  <c r="G2376" i="33" s="1"/>
  <c r="G2391" i="33" s="1"/>
  <c r="F2371" i="33" s="1"/>
  <c r="G233" i="5" s="1"/>
  <c r="M65" i="34"/>
  <c r="F1626" i="33" s="1"/>
  <c r="G1626" i="33" s="1"/>
  <c r="G1629" i="33" s="1"/>
  <c r="G1643" i="33" s="1"/>
  <c r="F1623" i="33" s="1"/>
  <c r="G199" i="5" s="1"/>
  <c r="H199" i="5" s="1"/>
  <c r="M98" i="34"/>
  <c r="F2494" i="33" s="1"/>
  <c r="G2494" i="33" s="1"/>
  <c r="G2496" i="33" s="1"/>
  <c r="G2511" i="33" s="1"/>
  <c r="F2491" i="33" s="1"/>
  <c r="G239" i="5" s="1"/>
  <c r="M71" i="34"/>
  <c r="F1770" i="33" s="1"/>
  <c r="G1770" i="33" s="1"/>
  <c r="G1773" i="33" s="1"/>
  <c r="M81" i="34"/>
  <c r="F2001" i="33" s="1"/>
  <c r="G2001" i="33" s="1"/>
  <c r="G2003" i="33" s="1"/>
  <c r="G2017" i="33" s="1"/>
  <c r="F1998" i="33" s="1"/>
  <c r="G215" i="5" s="1"/>
  <c r="H215" i="5" s="1"/>
  <c r="M67" i="34"/>
  <c r="F1674" i="33" s="1"/>
  <c r="G1674" i="33" s="1"/>
  <c r="G1677" i="33" s="1"/>
  <c r="M99" i="34"/>
  <c r="F2518" i="33" s="1"/>
  <c r="G2518" i="33" s="1"/>
  <c r="G2520" i="33" s="1"/>
  <c r="G2535" i="33" s="1"/>
  <c r="F2515" i="33" s="1"/>
  <c r="G240" i="5" s="1"/>
  <c r="J240" i="5" s="1"/>
  <c r="K240" i="5" s="1"/>
  <c r="M95" i="34"/>
  <c r="F2422" i="33" s="1"/>
  <c r="G2422" i="33" s="1"/>
  <c r="G2424" i="33" s="1"/>
  <c r="M100" i="34"/>
  <c r="F2542" i="33" s="1"/>
  <c r="G2542" i="33" s="1"/>
  <c r="G2544" i="33" s="1"/>
  <c r="M110" i="34"/>
  <c r="F2782" i="33" s="1"/>
  <c r="G2782" i="33" s="1"/>
  <c r="G2784" i="33" s="1"/>
  <c r="M94" i="34"/>
  <c r="F2398" i="33"/>
  <c r="G2398" i="33" s="1"/>
  <c r="G2400" i="33" s="1"/>
  <c r="M84" i="34"/>
  <c r="F2070" i="33" s="1"/>
  <c r="G2070" i="33" s="1"/>
  <c r="G2072" i="33" s="1"/>
  <c r="G2086" i="33" s="1"/>
  <c r="F2067" i="33" s="1"/>
  <c r="G225" i="5" s="1"/>
  <c r="J225" i="5" s="1"/>
  <c r="K225" i="5" s="1"/>
  <c r="M92" i="34"/>
  <c r="F2350" i="33" s="1"/>
  <c r="G2350" i="33" s="1"/>
  <c r="G2352" i="33" s="1"/>
  <c r="M63" i="34"/>
  <c r="F1580" i="33" s="1"/>
  <c r="G1580" i="33" s="1"/>
  <c r="G1582" i="33" s="1"/>
  <c r="G1596" i="33" s="1"/>
  <c r="F1577" i="33" s="1"/>
  <c r="G197" i="5" s="1"/>
  <c r="M80" i="34"/>
  <c r="F1978" i="33" s="1"/>
  <c r="G1978" i="33" s="1"/>
  <c r="G1980" i="33" s="1"/>
  <c r="G1994" i="33" s="1"/>
  <c r="F1975" i="33" s="1"/>
  <c r="G214" i="5" s="1"/>
  <c r="M75" i="34"/>
  <c r="F1863" i="33" s="1"/>
  <c r="G1863" i="33" s="1"/>
  <c r="G1865" i="33" s="1"/>
  <c r="M89" i="34"/>
  <c r="F2278" i="33" s="1"/>
  <c r="G2278" i="33" s="1"/>
  <c r="G2280" i="33" s="1"/>
  <c r="G2295" i="33" s="1"/>
  <c r="F2275" i="33" s="1"/>
  <c r="G228" i="5" s="1"/>
  <c r="H228" i="5" s="1"/>
  <c r="M78" i="34"/>
  <c r="F1932" i="33"/>
  <c r="G1932" i="33" s="1"/>
  <c r="G1934" i="33" s="1"/>
  <c r="M72" i="34"/>
  <c r="F1794" i="33" s="1"/>
  <c r="G1794" i="33" s="1"/>
  <c r="G1796" i="33" s="1"/>
  <c r="M102" i="34"/>
  <c r="F2590" i="33" s="1"/>
  <c r="G2590" i="33" s="1"/>
  <c r="G2592" i="33" s="1"/>
  <c r="M105" i="34"/>
  <c r="F2662" i="33" s="1"/>
  <c r="G2662" i="33" s="1"/>
  <c r="G2664" i="33" s="1"/>
  <c r="G2679" i="33" s="1"/>
  <c r="F2659" i="33" s="1"/>
  <c r="G246" i="5" s="1"/>
  <c r="M96" i="34"/>
  <c r="F2446" i="33" s="1"/>
  <c r="G2446" i="33" s="1"/>
  <c r="G2448" i="33" s="1"/>
  <c r="G2463" i="33" s="1"/>
  <c r="F2443" i="33" s="1"/>
  <c r="G237" i="5" s="1"/>
  <c r="M106" i="34"/>
  <c r="F2686" i="33" s="1"/>
  <c r="G2686" i="33" s="1"/>
  <c r="G2688" i="33" s="1"/>
  <c r="G2703" i="33" s="1"/>
  <c r="F2683" i="33" s="1"/>
  <c r="G247" i="5" s="1"/>
  <c r="M108" i="34"/>
  <c r="F2734" i="33" s="1"/>
  <c r="G2734" i="33" s="1"/>
  <c r="G2736" i="33" s="1"/>
  <c r="M101" i="34"/>
  <c r="F2566" i="33" s="1"/>
  <c r="G2566" i="33" s="1"/>
  <c r="G2568" i="33" s="1"/>
  <c r="G2583" i="33" s="1"/>
  <c r="F2563" i="33" s="1"/>
  <c r="G242" i="5" s="1"/>
  <c r="M73" i="34"/>
  <c r="F1817" i="33" s="1"/>
  <c r="G1817" i="33" s="1"/>
  <c r="G1819" i="33" s="1"/>
  <c r="G1833" i="33" s="1"/>
  <c r="F1814" i="33" s="1"/>
  <c r="G207" i="5" s="1"/>
  <c r="J207" i="5" s="1"/>
  <c r="K207" i="5" s="1"/>
  <c r="M87" i="34"/>
  <c r="F2208" i="33" s="1"/>
  <c r="G2208" i="33" s="1"/>
  <c r="G2210" i="33" s="1"/>
  <c r="G2224" i="33" s="1"/>
  <c r="F2205" i="33" s="1"/>
  <c r="G222" i="5" s="1"/>
  <c r="M103" i="34"/>
  <c r="F2614" i="33" s="1"/>
  <c r="G2614" i="33" s="1"/>
  <c r="G2616" i="33" s="1"/>
  <c r="M64" i="34"/>
  <c r="F1603" i="33"/>
  <c r="G1603" i="33" s="1"/>
  <c r="G1605" i="33" s="1"/>
  <c r="G1619" i="33" s="1"/>
  <c r="F1600" i="33" s="1"/>
  <c r="G198" i="5" s="1"/>
  <c r="M66" i="34"/>
  <c r="F1650" i="33" s="1"/>
  <c r="G1650" i="33" s="1"/>
  <c r="M82" i="34"/>
  <c r="F2024" i="33" s="1"/>
  <c r="G2024" i="33" s="1"/>
  <c r="G2026" i="33" s="1"/>
  <c r="G2040" i="33" s="1"/>
  <c r="F2021" i="33" s="1"/>
  <c r="G216" i="5" s="1"/>
  <c r="J216" i="5" s="1"/>
  <c r="K216" i="5" s="1"/>
  <c r="M107" i="34"/>
  <c r="F2710" i="33" s="1"/>
  <c r="G2710" i="33" s="1"/>
  <c r="G2712" i="33" s="1"/>
  <c r="G2727" i="33" s="1"/>
  <c r="F2707" i="33" s="1"/>
  <c r="G248" i="5" s="1"/>
  <c r="J248" i="5" s="1"/>
  <c r="K248" i="5" s="1"/>
  <c r="M111" i="34"/>
  <c r="F2806" i="33" s="1"/>
  <c r="G2806" i="33" s="1"/>
  <c r="G2808" i="33" s="1"/>
  <c r="G2823" i="33" s="1"/>
  <c r="F2803" i="33" s="1"/>
  <c r="G252" i="5" s="1"/>
  <c r="M70" i="34"/>
  <c r="F1746" i="33" s="1"/>
  <c r="G1746" i="33" s="1"/>
  <c r="G1749" i="33" s="1"/>
  <c r="M79" i="34"/>
  <c r="F1955" i="33" s="1"/>
  <c r="G1955" i="33" s="1"/>
  <c r="G1957" i="33" s="1"/>
  <c r="M74" i="34"/>
  <c r="F1840" i="33"/>
  <c r="G1840" i="33" s="1"/>
  <c r="G1842" i="33" s="1"/>
  <c r="G1856" i="33" s="1"/>
  <c r="F1837" i="33" s="1"/>
  <c r="G208" i="5" s="1"/>
  <c r="H208" i="5" s="1"/>
  <c r="M88" i="34"/>
  <c r="F2254" i="33" s="1"/>
  <c r="G2254" i="33" s="1"/>
  <c r="G2256" i="33" s="1"/>
  <c r="G2271" i="33" s="1"/>
  <c r="F2251" i="33" s="1"/>
  <c r="G227" i="5" s="1"/>
  <c r="M104" i="34"/>
  <c r="F2638" i="33" s="1"/>
  <c r="G2638" i="33" s="1"/>
  <c r="G2640" i="33" s="1"/>
  <c r="M97" i="34"/>
  <c r="F2470" i="33" s="1"/>
  <c r="G2470" i="33" s="1"/>
  <c r="G2472" i="33" s="1"/>
  <c r="G2487" i="33" s="1"/>
  <c r="F2467" i="33" s="1"/>
  <c r="G238" i="5" s="1"/>
  <c r="J238" i="5" s="1"/>
  <c r="K238" i="5" s="1"/>
  <c r="M124" i="34"/>
  <c r="M140" i="34"/>
  <c r="F3787" i="33" s="1"/>
  <c r="M158" i="34"/>
  <c r="F4443" i="33" s="1"/>
  <c r="M126" i="34"/>
  <c r="M141" i="34"/>
  <c r="M157" i="34"/>
  <c r="M127" i="34"/>
  <c r="M143" i="34"/>
  <c r="F3856" i="33"/>
  <c r="M115" i="34"/>
  <c r="F3049" i="33"/>
  <c r="M129" i="34"/>
  <c r="M144" i="34"/>
  <c r="M116" i="34"/>
  <c r="M128" i="34"/>
  <c r="M145" i="34"/>
  <c r="F3902" i="33" s="1"/>
  <c r="M161" i="34"/>
  <c r="F4576" i="33"/>
  <c r="M142" i="34"/>
  <c r="M160" i="34"/>
  <c r="M117" i="34"/>
  <c r="M130" i="34"/>
  <c r="M146" i="34"/>
  <c r="F3925" i="33" s="1"/>
  <c r="M162" i="34"/>
  <c r="F4600" i="33" s="1"/>
  <c r="M125" i="34"/>
  <c r="M119" i="34"/>
  <c r="M132" i="34"/>
  <c r="F3599" i="33" s="1"/>
  <c r="M147" i="34"/>
  <c r="M163" i="34"/>
  <c r="F4723" i="33"/>
  <c r="M114" i="34"/>
  <c r="F3024" i="33"/>
  <c r="M156" i="34"/>
  <c r="M159" i="34"/>
  <c r="M118" i="34"/>
  <c r="M134" i="34"/>
  <c r="M148" i="34"/>
  <c r="F3994" i="33"/>
  <c r="M164" i="34"/>
  <c r="F4747" i="33"/>
  <c r="M131" i="34"/>
  <c r="M149" i="34"/>
  <c r="M166" i="34"/>
  <c r="M165" i="34"/>
  <c r="M135" i="34"/>
  <c r="F3670" i="33"/>
  <c r="M123" i="34"/>
  <c r="F3355" i="33"/>
  <c r="M136" i="34"/>
  <c r="M121" i="34"/>
  <c r="M138" i="34"/>
  <c r="M153" i="34"/>
  <c r="M68" i="34"/>
  <c r="F1698" i="33"/>
  <c r="G1698" i="33" s="1"/>
  <c r="G1701" i="33" s="1"/>
  <c r="M133" i="34"/>
  <c r="F3622" i="33"/>
  <c r="M167" i="34"/>
  <c r="M86" i="34"/>
  <c r="F2116" i="33" s="1"/>
  <c r="G2116" i="33" s="1"/>
  <c r="G2118" i="33" s="1"/>
  <c r="G2132" i="33" s="1"/>
  <c r="F2113" i="33" s="1"/>
  <c r="G218" i="5" s="1"/>
  <c r="J218" i="5" s="1"/>
  <c r="K218" i="5" s="1"/>
  <c r="M122" i="34"/>
  <c r="M137" i="34"/>
  <c r="M154" i="34"/>
  <c r="F4264" i="33" s="1"/>
  <c r="M120" i="34"/>
  <c r="F3189" i="33" s="1"/>
  <c r="M150" i="34"/>
  <c r="M152" i="34"/>
  <c r="M151" i="34"/>
  <c r="M85" i="34"/>
  <c r="F2093" i="33"/>
  <c r="G2093" i="33" s="1"/>
  <c r="G2095" i="33" s="1"/>
  <c r="G2109" i="33" s="1"/>
  <c r="F2090" i="33" s="1"/>
  <c r="G217" i="5" s="1"/>
  <c r="M139" i="34"/>
  <c r="F3764" i="33"/>
  <c r="M155" i="34"/>
  <c r="F4308" i="33"/>
  <c r="M113" i="34"/>
  <c r="F2999" i="33"/>
  <c r="H265" i="5"/>
  <c r="M112" i="34"/>
  <c r="F2974" i="33" s="1"/>
  <c r="M76" i="34"/>
  <c r="F1886" i="33" s="1"/>
  <c r="G1886" i="33" s="1"/>
  <c r="G1888" i="33" s="1"/>
  <c r="F2231" i="33"/>
  <c r="G2231" i="33" s="1"/>
  <c r="G2233" i="33" s="1"/>
  <c r="G2247" i="33" s="1"/>
  <c r="F2228" i="33" s="1"/>
  <c r="G223" i="5" s="1"/>
  <c r="J223" i="5" s="1"/>
  <c r="K223" i="5" s="1"/>
  <c r="F2162" i="33"/>
  <c r="G2162" i="33" s="1"/>
  <c r="G2164" i="33" s="1"/>
  <c r="G2178" i="33" s="1"/>
  <c r="F2159" i="33" s="1"/>
  <c r="G220" i="5" s="1"/>
  <c r="H220" i="5" s="1"/>
  <c r="F2185" i="33"/>
  <c r="G2185" i="33" s="1"/>
  <c r="G2187" i="33" s="1"/>
  <c r="G2201" i="33" s="1"/>
  <c r="F2182" i="33" s="1"/>
  <c r="G221" i="5" s="1"/>
  <c r="J221" i="5" s="1"/>
  <c r="K221" i="5" s="1"/>
  <c r="M62" i="34"/>
  <c r="F1557" i="33"/>
  <c r="G1557" i="33" s="1"/>
  <c r="G1559" i="33" s="1"/>
  <c r="G1573" i="33" s="1"/>
  <c r="F1554" i="33" s="1"/>
  <c r="G196" i="5" s="1"/>
  <c r="H196" i="5" s="1"/>
  <c r="M33" i="34"/>
  <c r="M38" i="34"/>
  <c r="F1272" i="33" s="1"/>
  <c r="G1272" i="33" s="1"/>
  <c r="M35" i="34"/>
  <c r="F1176" i="33" s="1"/>
  <c r="G1176" i="33" s="1"/>
  <c r="M45" i="34"/>
  <c r="F1488" i="33" s="1"/>
  <c r="G1488" i="33" s="1"/>
  <c r="G1490" i="33" s="1"/>
  <c r="G1504" i="33" s="1"/>
  <c r="F1485" i="33" s="1"/>
  <c r="G192" i="5" s="1"/>
  <c r="H192" i="5" s="1"/>
  <c r="M42" i="34"/>
  <c r="F1400" i="33"/>
  <c r="G1400" i="33" s="1"/>
  <c r="M31" i="34"/>
  <c r="F661" i="33" s="1"/>
  <c r="G661" i="33" s="1"/>
  <c r="G663" i="33" s="1"/>
  <c r="G677" i="33" s="1"/>
  <c r="F658" i="33" s="1"/>
  <c r="G164" i="5" s="1"/>
  <c r="H164" i="5" s="1"/>
  <c r="M47" i="34"/>
  <c r="F1534" i="33"/>
  <c r="G1534" i="33" s="1"/>
  <c r="G1536" i="33" s="1"/>
  <c r="G1550" i="33" s="1"/>
  <c r="F1531" i="33" s="1"/>
  <c r="G194" i="5" s="1"/>
  <c r="M39" i="34"/>
  <c r="F1304" i="33"/>
  <c r="G1304" i="33" s="1"/>
  <c r="M40" i="34"/>
  <c r="F1337" i="33"/>
  <c r="G1337" i="33" s="1"/>
  <c r="M43" i="34"/>
  <c r="F1433" i="33"/>
  <c r="G1433" i="33" s="1"/>
  <c r="M36" i="34"/>
  <c r="F1208" i="33"/>
  <c r="G1208" i="33" s="1"/>
  <c r="M30" i="34"/>
  <c r="F638" i="33" s="1"/>
  <c r="G638" i="33" s="1"/>
  <c r="G640" i="33" s="1"/>
  <c r="G654" i="33" s="1"/>
  <c r="F635" i="33" s="1"/>
  <c r="G163" i="5" s="1"/>
  <c r="M29" i="34"/>
  <c r="F615" i="33" s="1"/>
  <c r="G615" i="33" s="1"/>
  <c r="G617" i="33" s="1"/>
  <c r="G631" i="33" s="1"/>
  <c r="F612" i="33" s="1"/>
  <c r="G168" i="5" s="1"/>
  <c r="J168" i="5" s="1"/>
  <c r="K168" i="5" s="1"/>
  <c r="M44" i="34"/>
  <c r="F1465" i="33"/>
  <c r="G1465" i="33" s="1"/>
  <c r="G1467" i="33" s="1"/>
  <c r="G1481" i="33" s="1"/>
  <c r="F1462" i="33" s="1"/>
  <c r="G191" i="5" s="1"/>
  <c r="M34" i="34"/>
  <c r="F780" i="33" s="1"/>
  <c r="G780" i="33" s="1"/>
  <c r="M32" i="34"/>
  <c r="F732" i="33" s="1"/>
  <c r="G732" i="33" s="1"/>
  <c r="M46" i="34"/>
  <c r="F1511" i="33"/>
  <c r="G1511" i="33" s="1"/>
  <c r="G1513" i="33" s="1"/>
  <c r="G1527" i="33" s="1"/>
  <c r="F1508" i="33" s="1"/>
  <c r="G193" i="5" s="1"/>
  <c r="M28" i="34"/>
  <c r="M41" i="34"/>
  <c r="F1369" i="33" s="1"/>
  <c r="G1369" i="33" s="1"/>
  <c r="M37" i="34"/>
  <c r="F1240" i="33"/>
  <c r="G1240" i="33" s="1"/>
  <c r="M24" i="34"/>
  <c r="F445" i="33" s="1"/>
  <c r="M21" i="34"/>
  <c r="F282" i="33" s="1"/>
  <c r="G282" i="33" s="1"/>
  <c r="G284" i="33" s="1"/>
  <c r="G298" i="33" s="1"/>
  <c r="M23" i="34"/>
  <c r="F393" i="33"/>
  <c r="G393" i="33" s="1"/>
  <c r="G397" i="33" s="1"/>
  <c r="M22" i="34"/>
  <c r="F326" i="33" s="1"/>
  <c r="G326" i="33" s="1"/>
  <c r="G328" i="33" s="1"/>
  <c r="G342" i="33" s="1"/>
  <c r="F323" i="33" s="1"/>
  <c r="G138" i="5" s="1"/>
  <c r="J138" i="5" s="1"/>
  <c r="K138" i="5" s="1"/>
  <c r="M27" i="34"/>
  <c r="F569" i="33" s="1"/>
  <c r="M26" i="34"/>
  <c r="F546" i="33"/>
  <c r="G546" i="33" s="1"/>
  <c r="G548" i="33" s="1"/>
  <c r="G562" i="33" s="1"/>
  <c r="M25" i="34"/>
  <c r="F495" i="33" s="1"/>
  <c r="G495" i="33" s="1"/>
  <c r="G499" i="33" s="1"/>
  <c r="F756" i="33"/>
  <c r="G756" i="33" s="1"/>
  <c r="F592" i="33"/>
  <c r="G592" i="33" s="1"/>
  <c r="G608" i="33" s="1"/>
  <c r="F589" i="33" s="1"/>
  <c r="G158" i="5" s="1"/>
  <c r="H158" i="5" s="1"/>
  <c r="F968" i="33" l="1"/>
  <c r="G968" i="33" s="1"/>
  <c r="F1435" i="33"/>
  <c r="M250" i="47"/>
  <c r="M74" i="15"/>
  <c r="M118" i="42"/>
  <c r="M129" i="42"/>
  <c r="M206" i="42"/>
  <c r="M350" i="42"/>
  <c r="M149" i="42"/>
  <c r="M303" i="47"/>
  <c r="M43" i="47"/>
  <c r="F2139" i="33"/>
  <c r="G2139" i="33" s="1"/>
  <c r="G2141" i="33" s="1"/>
  <c r="G2155" i="33" s="1"/>
  <c r="F2136" i="33" s="1"/>
  <c r="G219" i="5" s="1"/>
  <c r="J219" i="5" s="1"/>
  <c r="K219" i="5" s="1"/>
  <c r="M362" i="42"/>
  <c r="M82" i="42"/>
  <c r="M328" i="42"/>
  <c r="M202" i="47"/>
  <c r="K76" i="5"/>
  <c r="M637" i="47"/>
  <c r="M236" i="47"/>
  <c r="E52" i="40"/>
  <c r="D52" i="40"/>
  <c r="M82" i="15"/>
  <c r="M131" i="15"/>
  <c r="M332" i="42"/>
  <c r="M641" i="47"/>
  <c r="F52" i="40"/>
  <c r="F62" i="42"/>
  <c r="M62" i="42" s="1"/>
  <c r="M61" i="42" s="1"/>
  <c r="M184" i="42"/>
  <c r="M155" i="42"/>
  <c r="M233" i="42"/>
  <c r="M134" i="42"/>
  <c r="M272" i="47"/>
  <c r="M212" i="47"/>
  <c r="M661" i="47"/>
  <c r="F1088" i="33"/>
  <c r="G1088" i="33" s="1"/>
  <c r="M47" i="15"/>
  <c r="M151" i="15"/>
  <c r="M87" i="42"/>
  <c r="M254" i="42"/>
  <c r="F33" i="47"/>
  <c r="M33" i="47" s="1"/>
  <c r="M32" i="47" s="1"/>
  <c r="M244" i="47"/>
  <c r="M238" i="42"/>
  <c r="M339" i="42"/>
  <c r="M166" i="42"/>
  <c r="M140" i="47"/>
  <c r="M283" i="47"/>
  <c r="M38" i="47"/>
  <c r="M76" i="47"/>
  <c r="M97" i="15"/>
  <c r="M104" i="15"/>
  <c r="M180" i="47"/>
  <c r="M669" i="47"/>
  <c r="M613" i="47"/>
  <c r="T23" i="23"/>
  <c r="K113" i="5"/>
  <c r="G1242" i="33"/>
  <c r="G1659" i="33"/>
  <c r="G2655" i="33"/>
  <c r="F2635" i="33" s="1"/>
  <c r="G245" i="5" s="1"/>
  <c r="H245" i="5" s="1"/>
  <c r="G3469" i="33"/>
  <c r="G1871" i="33"/>
  <c r="G1879" i="33" s="1"/>
  <c r="F1860" i="33" s="1"/>
  <c r="G209" i="5" s="1"/>
  <c r="G2343" i="33"/>
  <c r="F2323" i="33" s="1"/>
  <c r="G230" i="5" s="1"/>
  <c r="J230" i="5" s="1"/>
  <c r="K230" i="5" s="1"/>
  <c r="G2631" i="33"/>
  <c r="F2611" i="33" s="1"/>
  <c r="G244" i="5" s="1"/>
  <c r="J244" i="5" s="1"/>
  <c r="K244" i="5" s="1"/>
  <c r="G1971" i="33"/>
  <c r="F1952" i="33" s="1"/>
  <c r="G213" i="5" s="1"/>
  <c r="H213" i="5" s="1"/>
  <c r="M633" i="47"/>
  <c r="M196" i="42"/>
  <c r="M617" i="47"/>
  <c r="H257" i="5"/>
  <c r="J257" i="5"/>
  <c r="K257" i="5" s="1"/>
  <c r="F1371" i="33"/>
  <c r="F1210" i="33"/>
  <c r="F876" i="33"/>
  <c r="G876" i="33" s="1"/>
  <c r="G882" i="33" s="1"/>
  <c r="F1402" i="33"/>
  <c r="G1402" i="33" s="1"/>
  <c r="F907" i="33"/>
  <c r="G907" i="33" s="1"/>
  <c r="F1058" i="33"/>
  <c r="G1058" i="33" s="1"/>
  <c r="G1064" i="33" s="1"/>
  <c r="D5122" i="33"/>
  <c r="G5122" i="33" s="1"/>
  <c r="G5124" i="33" s="1"/>
  <c r="D5214" i="33"/>
  <c r="G5214" i="33" s="1"/>
  <c r="G5216" i="33" s="1"/>
  <c r="F5306" i="33"/>
  <c r="G5306" i="33" s="1"/>
  <c r="G5308" i="33" s="1"/>
  <c r="F5398" i="33"/>
  <c r="G5398" i="33" s="1"/>
  <c r="G5400" i="33" s="1"/>
  <c r="C3118" i="33"/>
  <c r="C3412" i="33"/>
  <c r="C3553" i="33"/>
  <c r="C3695" i="33"/>
  <c r="C3833" i="33"/>
  <c r="C3994" i="33"/>
  <c r="C4264" i="33"/>
  <c r="C4531" i="33"/>
  <c r="D4802" i="33"/>
  <c r="G1940" i="33"/>
  <c r="F4830" i="33"/>
  <c r="F3718" i="33"/>
  <c r="F4219" i="33"/>
  <c r="G4219" i="33" s="1"/>
  <c r="G4221" i="33" s="1"/>
  <c r="F4774" i="33"/>
  <c r="G4774" i="33" s="1"/>
  <c r="G4776" i="33" s="1"/>
  <c r="F3645" i="33"/>
  <c r="F3948" i="33"/>
  <c r="G3948" i="33" s="1"/>
  <c r="G3950" i="33" s="1"/>
  <c r="F3553" i="33"/>
  <c r="F3507" i="33"/>
  <c r="G3507" i="33" s="1"/>
  <c r="G3509" i="33" s="1"/>
  <c r="F3484" i="33"/>
  <c r="F3412" i="33"/>
  <c r="C5145" i="33"/>
  <c r="C5237" i="33"/>
  <c r="C5329" i="33"/>
  <c r="C5421" i="33"/>
  <c r="D3118" i="33"/>
  <c r="D3412" i="33"/>
  <c r="D3553" i="33"/>
  <c r="D3695" i="33"/>
  <c r="D3833" i="33"/>
  <c r="D3994" i="33"/>
  <c r="G3994" i="33" s="1"/>
  <c r="G3996" i="33" s="1"/>
  <c r="D4264" i="33"/>
  <c r="G4264" i="33" s="1"/>
  <c r="G4266" i="33" s="1"/>
  <c r="D4531" i="33"/>
  <c r="C4830" i="33"/>
  <c r="G5469" i="33"/>
  <c r="F1339" i="33"/>
  <c r="G1339" i="33" s="1"/>
  <c r="F5145" i="33"/>
  <c r="D5237" i="33"/>
  <c r="D5329" i="33"/>
  <c r="D5421" i="33"/>
  <c r="C3141" i="33"/>
  <c r="C3436" i="33"/>
  <c r="C3576" i="33"/>
  <c r="C3718" i="33"/>
  <c r="C3856" i="33"/>
  <c r="C4039" i="33"/>
  <c r="C4308" i="33"/>
  <c r="D4576" i="33"/>
  <c r="D4830" i="33"/>
  <c r="G4830" i="33" s="1"/>
  <c r="G4832" i="33" s="1"/>
  <c r="F3301" i="33"/>
  <c r="F3741" i="33"/>
  <c r="F4802" i="33"/>
  <c r="F3118" i="33"/>
  <c r="F3095" i="33"/>
  <c r="G3095" i="33" s="1"/>
  <c r="G3097" i="33" s="1"/>
  <c r="F3072" i="33"/>
  <c r="F4398" i="33"/>
  <c r="D5145" i="33"/>
  <c r="F5237" i="33"/>
  <c r="F5329" i="33"/>
  <c r="F5421" i="33"/>
  <c r="D3141" i="33"/>
  <c r="D3436" i="33"/>
  <c r="D3576" i="33"/>
  <c r="D3718" i="33"/>
  <c r="G3718" i="33" s="1"/>
  <c r="G3720" i="33" s="1"/>
  <c r="D3856" i="33"/>
  <c r="G3856" i="33" s="1"/>
  <c r="G3858" i="33" s="1"/>
  <c r="D4039" i="33"/>
  <c r="D4308" i="33"/>
  <c r="G4308" i="33" s="1"/>
  <c r="G4310" i="33" s="1"/>
  <c r="C4576" i="33"/>
  <c r="C4853" i="33"/>
  <c r="G4938" i="33"/>
  <c r="F5168" i="33"/>
  <c r="F5260" i="33"/>
  <c r="C5352" i="33"/>
  <c r="C3024" i="33"/>
  <c r="C3189" i="33"/>
  <c r="C3460" i="33"/>
  <c r="C3599" i="33"/>
  <c r="C3741" i="33"/>
  <c r="C3879" i="33"/>
  <c r="C4083" i="33"/>
  <c r="C4353" i="33"/>
  <c r="C4600" i="33"/>
  <c r="D4853" i="33"/>
  <c r="F3247" i="33"/>
  <c r="F4039" i="33"/>
  <c r="F4487" i="33"/>
  <c r="G4487" i="33" s="1"/>
  <c r="G4489" i="33" s="1"/>
  <c r="F3141" i="33"/>
  <c r="F4531" i="33"/>
  <c r="F3879" i="33"/>
  <c r="F3810" i="33"/>
  <c r="G3810" i="33" s="1"/>
  <c r="G3812" i="33" s="1"/>
  <c r="C5168" i="33"/>
  <c r="C5260" i="33"/>
  <c r="D5352" i="33"/>
  <c r="D3024" i="33"/>
  <c r="G3024" i="33" s="1"/>
  <c r="G3026" i="33" s="1"/>
  <c r="D3189" i="33"/>
  <c r="G3189" i="33" s="1"/>
  <c r="G3196" i="33" s="1"/>
  <c r="D3460" i="33"/>
  <c r="D3599" i="33"/>
  <c r="G3599" i="33" s="1"/>
  <c r="G3601" i="33" s="1"/>
  <c r="D3741" i="33"/>
  <c r="D3879" i="33"/>
  <c r="D4083" i="33"/>
  <c r="D4353" i="33"/>
  <c r="D4600" i="33"/>
  <c r="G4600" i="33" s="1"/>
  <c r="G4602" i="33" s="1"/>
  <c r="F1274" i="33"/>
  <c r="G1274" i="33" s="1"/>
  <c r="F4174" i="33"/>
  <c r="G4174" i="33" s="1"/>
  <c r="G4176" i="33" s="1"/>
  <c r="D5168" i="33"/>
  <c r="D5260" i="33"/>
  <c r="F5352" i="33"/>
  <c r="C3049" i="33"/>
  <c r="C3355" i="33"/>
  <c r="C3484" i="33"/>
  <c r="C3622" i="33"/>
  <c r="C3764" i="33"/>
  <c r="C3902" i="33"/>
  <c r="C4129" i="33"/>
  <c r="C4398" i="33"/>
  <c r="C4723" i="33"/>
  <c r="D4947" i="33"/>
  <c r="G4947" i="33" s="1"/>
  <c r="G4949" i="33" s="1"/>
  <c r="F1306" i="33"/>
  <c r="G1306" i="33" s="1"/>
  <c r="G1316" i="33" s="1"/>
  <c r="G1330" i="33" s="1"/>
  <c r="F1301" i="33" s="1"/>
  <c r="G186" i="5" s="1"/>
  <c r="H186" i="5" s="1"/>
  <c r="F1148" i="33"/>
  <c r="G1148" i="33" s="1"/>
  <c r="F4129" i="33"/>
  <c r="F4083" i="33"/>
  <c r="F4853" i="33"/>
  <c r="F3695" i="33"/>
  <c r="F3576" i="33"/>
  <c r="F4353" i="33"/>
  <c r="F3436" i="33"/>
  <c r="F3833" i="33"/>
  <c r="F3530" i="33"/>
  <c r="G3530" i="33" s="1"/>
  <c r="G3532" i="33" s="1"/>
  <c r="F3460" i="33"/>
  <c r="C5191" i="33"/>
  <c r="C5283" i="33"/>
  <c r="C5375" i="33"/>
  <c r="D3049" i="33"/>
  <c r="G3049" i="33" s="1"/>
  <c r="G3051" i="33" s="1"/>
  <c r="D3355" i="33"/>
  <c r="G3355" i="33" s="1"/>
  <c r="G3362" i="33" s="1"/>
  <c r="D3484" i="33"/>
  <c r="G3484" i="33" s="1"/>
  <c r="G3486" i="33" s="1"/>
  <c r="G3500" i="33" s="1"/>
  <c r="F3481" i="33" s="1"/>
  <c r="G428" i="5" s="1"/>
  <c r="D3622" i="33"/>
  <c r="G3622" i="33" s="1"/>
  <c r="G3624" i="33" s="1"/>
  <c r="D3764" i="33"/>
  <c r="G3764" i="33" s="1"/>
  <c r="G3766" i="33" s="1"/>
  <c r="D3902" i="33"/>
  <c r="G3902" i="33" s="1"/>
  <c r="G3904" i="33" s="1"/>
  <c r="D4129" i="33"/>
  <c r="D4398" i="33"/>
  <c r="C4747" i="33"/>
  <c r="F5191" i="33"/>
  <c r="G5191" i="33" s="1"/>
  <c r="G5193" i="33" s="1"/>
  <c r="D5283" i="33"/>
  <c r="G5283" i="33" s="1"/>
  <c r="G5285" i="33" s="1"/>
  <c r="D5375" i="33"/>
  <c r="G5375" i="33" s="1"/>
  <c r="G5377" i="33" s="1"/>
  <c r="D3072" i="33"/>
  <c r="D3301" i="33"/>
  <c r="G3301" i="33" s="1"/>
  <c r="G3308" i="33" s="1"/>
  <c r="C3507" i="33"/>
  <c r="C3645" i="33"/>
  <c r="C3787" i="33"/>
  <c r="C3925" i="33"/>
  <c r="C4174" i="33"/>
  <c r="C4443" i="33"/>
  <c r="K114" i="5"/>
  <c r="K110" i="5" s="1"/>
  <c r="F41" i="38" s="1"/>
  <c r="F40" i="38" s="1"/>
  <c r="R32" i="23" s="1"/>
  <c r="M33" i="23" s="1"/>
  <c r="G3001" i="33"/>
  <c r="H113" i="5"/>
  <c r="G3247" i="33"/>
  <c r="G3254" i="33" s="1"/>
  <c r="G4650" i="33"/>
  <c r="G4962" i="33"/>
  <c r="G1715" i="33"/>
  <c r="F1695" i="33" s="1"/>
  <c r="G202" i="5" s="1"/>
  <c r="J202" i="5" s="1"/>
  <c r="K202" i="5" s="1"/>
  <c r="G4735" i="33"/>
  <c r="G4738" i="33" s="1"/>
  <c r="G2559" i="33"/>
  <c r="F2539" i="33" s="1"/>
  <c r="G241" i="5" s="1"/>
  <c r="H241" i="5" s="1"/>
  <c r="G4714" i="33"/>
  <c r="G2367" i="33"/>
  <c r="F2347" i="33" s="1"/>
  <c r="G232" i="5" s="1"/>
  <c r="H232" i="5" s="1"/>
  <c r="G2751" i="33"/>
  <c r="F2731" i="33" s="1"/>
  <c r="G249" i="5" s="1"/>
  <c r="J249" i="5" s="1"/>
  <c r="K249" i="5" s="1"/>
  <c r="G735" i="33"/>
  <c r="G749" i="33" s="1"/>
  <c r="F729" i="33" s="1"/>
  <c r="G167" i="5" s="1"/>
  <c r="J167" i="5" s="1"/>
  <c r="K167" i="5" s="1"/>
  <c r="G3670" i="33"/>
  <c r="G3672" i="33" s="1"/>
  <c r="G4182" i="33"/>
  <c r="G4706" i="33"/>
  <c r="G5314" i="33"/>
  <c r="G1691" i="33"/>
  <c r="F1671" i="33" s="1"/>
  <c r="G201" i="5" s="1"/>
  <c r="H201" i="5" s="1"/>
  <c r="G4091" i="33"/>
  <c r="G5059" i="33"/>
  <c r="G3172" i="33"/>
  <c r="G4980" i="33"/>
  <c r="G1802" i="33"/>
  <c r="G1810" i="33" s="1"/>
  <c r="F1791" i="33" s="1"/>
  <c r="G206" i="5" s="1"/>
  <c r="G3956" i="33"/>
  <c r="G4539" i="33"/>
  <c r="G4316" i="33"/>
  <c r="G4631" i="33"/>
  <c r="G4406" i="33"/>
  <c r="G3680" i="33"/>
  <c r="K120" i="5"/>
  <c r="G4576" i="33"/>
  <c r="G4578" i="33" s="1"/>
  <c r="G5245" i="33"/>
  <c r="G5222" i="33"/>
  <c r="G3795" i="33"/>
  <c r="G5199" i="33"/>
  <c r="G5360" i="33"/>
  <c r="G4838" i="33"/>
  <c r="G4047" i="33"/>
  <c r="G1371" i="33"/>
  <c r="G1379" i="33" s="1"/>
  <c r="G1393" i="33" s="1"/>
  <c r="F1366" i="33" s="1"/>
  <c r="G188" i="5" s="1"/>
  <c r="J188" i="5" s="1"/>
  <c r="K188" i="5" s="1"/>
  <c r="G1779" i="33"/>
  <c r="G1787" i="33" s="1"/>
  <c r="F1767" i="33" s="1"/>
  <c r="G205" i="5" s="1"/>
  <c r="H205" i="5" s="1"/>
  <c r="G1917" i="33"/>
  <c r="G1925" i="33" s="1"/>
  <c r="F1906" i="33" s="1"/>
  <c r="G211" i="5" s="1"/>
  <c r="G4723" i="33"/>
  <c r="G4725" i="33" s="1"/>
  <c r="G2607" i="33"/>
  <c r="F2587" i="33" s="1"/>
  <c r="G243" i="5" s="1"/>
  <c r="H243" i="5" s="1"/>
  <c r="G5337" i="33"/>
  <c r="G3864" i="33"/>
  <c r="G4227" i="33"/>
  <c r="F543" i="33"/>
  <c r="G156" i="5" s="1"/>
  <c r="G4890" i="33"/>
  <c r="G4892" i="33" s="1"/>
  <c r="F4873" i="33" s="1"/>
  <c r="G298" i="5" s="1"/>
  <c r="J298" i="5" s="1"/>
  <c r="K298" i="5" s="1"/>
  <c r="G5176" i="33"/>
  <c r="G5406" i="33"/>
  <c r="G1948" i="33"/>
  <c r="F1929" i="33" s="1"/>
  <c r="G212" i="5" s="1"/>
  <c r="H212" i="5" s="1"/>
  <c r="G5475" i="33"/>
  <c r="G5498" i="33"/>
  <c r="G364" i="33"/>
  <c r="F345" i="33" s="1"/>
  <c r="G140" i="5" s="1"/>
  <c r="J140" i="5" s="1"/>
  <c r="K140" i="5" s="1"/>
  <c r="G5429" i="33"/>
  <c r="G1181" i="33"/>
  <c r="G1187" i="33" s="1"/>
  <c r="G4608" i="33"/>
  <c r="G3607" i="33"/>
  <c r="G4656" i="33"/>
  <c r="G3009" i="33"/>
  <c r="G1094" i="33"/>
  <c r="G37" i="33"/>
  <c r="G39" i="33" s="1"/>
  <c r="F20" i="33" s="1"/>
  <c r="G36" i="5" s="1"/>
  <c r="G240" i="33"/>
  <c r="G248" i="33" s="1"/>
  <c r="F229" i="33" s="1"/>
  <c r="G1011" i="33"/>
  <c r="G1131" i="33"/>
  <c r="G5084" i="33"/>
  <c r="G5291" i="33"/>
  <c r="G4451" i="33"/>
  <c r="G4681" i="33"/>
  <c r="G5130" i="33"/>
  <c r="G4495" i="33"/>
  <c r="G4675" i="33"/>
  <c r="G4810" i="33"/>
  <c r="G857" i="33"/>
  <c r="G3515" i="33"/>
  <c r="G4585" i="33"/>
  <c r="G4821" i="33"/>
  <c r="G77" i="33"/>
  <c r="G85" i="33" s="1"/>
  <c r="F66" i="33" s="1"/>
  <c r="G39" i="5" s="1"/>
  <c r="J242" i="5"/>
  <c r="K242" i="5" s="1"/>
  <c r="H242" i="5"/>
  <c r="G889" i="33"/>
  <c r="G5546" i="33"/>
  <c r="G5554" i="33" s="1"/>
  <c r="F5534" i="33" s="1"/>
  <c r="G529" i="5" s="1"/>
  <c r="G5268" i="33"/>
  <c r="G3841" i="33"/>
  <c r="G4002" i="33"/>
  <c r="G3126" i="33"/>
  <c r="G3368" i="33"/>
  <c r="G3655" i="33"/>
  <c r="G3749" i="33"/>
  <c r="G4664" i="33"/>
  <c r="G4932" i="33"/>
  <c r="G693" i="33"/>
  <c r="G701" i="33" s="1"/>
  <c r="F681" i="33" s="1"/>
  <c r="G165" i="5" s="1"/>
  <c r="G1101" i="33"/>
  <c r="G1348" i="33"/>
  <c r="G1362" i="33" s="1"/>
  <c r="F1334" i="33" s="1"/>
  <c r="G187" i="5" s="1"/>
  <c r="H187" i="5" s="1"/>
  <c r="G5522" i="33"/>
  <c r="G5530" i="33" s="1"/>
  <c r="F5510" i="33" s="1"/>
  <c r="G67" i="5" s="1"/>
  <c r="G5452" i="33"/>
  <c r="G3103" i="33"/>
  <c r="G3445" i="33"/>
  <c r="G3202" i="33"/>
  <c r="G3561" i="33"/>
  <c r="G3703" i="33"/>
  <c r="G4625" i="33"/>
  <c r="G4700" i="33"/>
  <c r="G3180" i="33"/>
  <c r="G5078" i="33"/>
  <c r="G5153" i="33"/>
  <c r="G3260" i="33"/>
  <c r="G4956" i="33"/>
  <c r="G1894" i="33"/>
  <c r="G1902" i="33" s="1"/>
  <c r="F1883" i="33" s="1"/>
  <c r="G210" i="5" s="1"/>
  <c r="H210" i="5" s="1"/>
  <c r="G1041" i="33"/>
  <c r="G4137" i="33"/>
  <c r="G4731" i="33"/>
  <c r="G3034" i="33"/>
  <c r="G100" i="33"/>
  <c r="G108" i="33" s="1"/>
  <c r="F89" i="33" s="1"/>
  <c r="G63" i="5" s="1"/>
  <c r="G1071" i="33"/>
  <c r="G1161" i="33"/>
  <c r="H151" i="5"/>
  <c r="J151" i="5"/>
  <c r="K151" i="5" s="1"/>
  <c r="J246" i="5"/>
  <c r="K246" i="5" s="1"/>
  <c r="H246" i="5"/>
  <c r="H256" i="5"/>
  <c r="J256" i="5"/>
  <c r="K256" i="5" s="1"/>
  <c r="H197" i="5"/>
  <c r="J197" i="5"/>
  <c r="K197" i="5" s="1"/>
  <c r="G3925" i="33"/>
  <c r="G3927" i="33" s="1"/>
  <c r="G5034" i="33"/>
  <c r="G5036" i="33" s="1"/>
  <c r="F5017" i="33" s="1"/>
  <c r="G295" i="5" s="1"/>
  <c r="H295" i="5" s="1"/>
  <c r="G3726" i="33"/>
  <c r="G5053" i="33"/>
  <c r="G5320" i="33"/>
  <c r="G5412" i="33"/>
  <c r="G3887" i="33"/>
  <c r="G4639" i="33"/>
  <c r="G386" i="33"/>
  <c r="F367" i="33" s="1"/>
  <c r="G141" i="5" s="1"/>
  <c r="J141" i="5" s="1"/>
  <c r="K141" i="5" s="1"/>
  <c r="G711" i="33"/>
  <c r="G725" i="33" s="1"/>
  <c r="F705" i="33" s="1"/>
  <c r="G166" i="5" s="1"/>
  <c r="H166" i="5" s="1"/>
  <c r="G1653" i="33"/>
  <c r="G1667" i="33" s="1"/>
  <c r="F1647" i="33" s="1"/>
  <c r="G200" i="5" s="1"/>
  <c r="H254" i="5"/>
  <c r="G5159" i="33"/>
  <c r="G1210" i="33"/>
  <c r="G1219" i="33" s="1"/>
  <c r="G1233" i="33" s="1"/>
  <c r="F1205" i="33" s="1"/>
  <c r="G183" i="5" s="1"/>
  <c r="G796" i="33"/>
  <c r="G951" i="33"/>
  <c r="G1251" i="33"/>
  <c r="G1265" i="33" s="1"/>
  <c r="F1237" i="33" s="1"/>
  <c r="G184" i="5" s="1"/>
  <c r="H184" i="5" s="1"/>
  <c r="G1412" i="33"/>
  <c r="G1426" i="33" s="1"/>
  <c r="F1397" i="33" s="1"/>
  <c r="G189" i="5" s="1"/>
  <c r="J189" i="5" s="1"/>
  <c r="K189" i="5" s="1"/>
  <c r="G3645" i="33"/>
  <c r="G3647" i="33" s="1"/>
  <c r="G4443" i="33"/>
  <c r="G4445" i="33" s="1"/>
  <c r="G3421" i="33"/>
  <c r="G5389" i="33"/>
  <c r="G3772" i="33"/>
  <c r="G3910" i="33"/>
  <c r="G5011" i="33"/>
  <c r="G5013" i="33" s="1"/>
  <c r="F4992" i="33" s="1"/>
  <c r="G307" i="5" s="1"/>
  <c r="H307" i="5" s="1"/>
  <c r="G5113" i="33"/>
  <c r="G5115" i="33" s="1"/>
  <c r="F5096" i="33" s="1"/>
  <c r="G3818" i="33"/>
  <c r="G4361" i="33"/>
  <c r="G5136" i="33"/>
  <c r="G5228" i="33"/>
  <c r="G215" i="33"/>
  <c r="G223" i="33" s="1"/>
  <c r="F204" i="33" s="1"/>
  <c r="G759" i="33"/>
  <c r="G773" i="33" s="1"/>
  <c r="F753" i="33" s="1"/>
  <c r="G169" i="5" s="1"/>
  <c r="J169" i="5" s="1"/>
  <c r="K169" i="5" s="1"/>
  <c r="G1154" i="33"/>
  <c r="G827" i="33"/>
  <c r="G981" i="33"/>
  <c r="G3314" i="33"/>
  <c r="G5446" i="33"/>
  <c r="G4986" i="33"/>
  <c r="G3149" i="33"/>
  <c r="G3933" i="33"/>
  <c r="G850" i="33"/>
  <c r="G3630" i="33"/>
  <c r="G1435" i="33"/>
  <c r="G405" i="33"/>
  <c r="G413" i="33" s="1"/>
  <c r="F390" i="33" s="1"/>
  <c r="G149" i="5" s="1"/>
  <c r="G920" i="33"/>
  <c r="G1193" i="33"/>
  <c r="K121" i="5"/>
  <c r="K79" i="5"/>
  <c r="K77" i="5" s="1"/>
  <c r="F35" i="38" s="1"/>
  <c r="F279" i="33"/>
  <c r="G146" i="5" s="1"/>
  <c r="J233" i="5"/>
  <c r="K233" i="5" s="1"/>
  <c r="H233" i="5"/>
  <c r="H222" i="5"/>
  <c r="J222" i="5"/>
  <c r="K222" i="5" s="1"/>
  <c r="H217" i="5"/>
  <c r="J217" i="5"/>
  <c r="K217" i="5" s="1"/>
  <c r="J237" i="5"/>
  <c r="K237" i="5" s="1"/>
  <c r="H237" i="5"/>
  <c r="J85" i="5"/>
  <c r="K85" i="5" s="1"/>
  <c r="H85" i="5"/>
  <c r="H194" i="5"/>
  <c r="J194" i="5"/>
  <c r="K194" i="5" s="1"/>
  <c r="J247" i="5"/>
  <c r="K247" i="5" s="1"/>
  <c r="H247" i="5"/>
  <c r="J199" i="5"/>
  <c r="K199" i="5" s="1"/>
  <c r="J208" i="5"/>
  <c r="K208" i="5" s="1"/>
  <c r="H224" i="5"/>
  <c r="J224" i="5"/>
  <c r="K224" i="5" s="1"/>
  <c r="J229" i="5"/>
  <c r="K229" i="5" s="1"/>
  <c r="H229" i="5"/>
  <c r="H258" i="5"/>
  <c r="G944" i="33"/>
  <c r="H240" i="5"/>
  <c r="J252" i="5"/>
  <c r="K252" i="5" s="1"/>
  <c r="H252" i="5"/>
  <c r="J341" i="5"/>
  <c r="K341" i="5" s="1"/>
  <c r="H341" i="5"/>
  <c r="F4899" i="33"/>
  <c r="D4899" i="33"/>
  <c r="C4899" i="33"/>
  <c r="F4971" i="33"/>
  <c r="D4971" i="33"/>
  <c r="C4971" i="33"/>
  <c r="J227" i="5"/>
  <c r="K227" i="5" s="1"/>
  <c r="H227" i="5"/>
  <c r="J214" i="5"/>
  <c r="K214" i="5" s="1"/>
  <c r="H214" i="5"/>
  <c r="G974" i="33"/>
  <c r="G913" i="33"/>
  <c r="G5569" i="33"/>
  <c r="G5577" i="33" s="1"/>
  <c r="F5558" i="33" s="1"/>
  <c r="G3584" i="33"/>
  <c r="G4272" i="33"/>
  <c r="G5251" i="33"/>
  <c r="G3057" i="33"/>
  <c r="D4923" i="33"/>
  <c r="G4923" i="33" s="1"/>
  <c r="G4925" i="33" s="1"/>
  <c r="C4923" i="33"/>
  <c r="G4765" i="33"/>
  <c r="G1004" i="33"/>
  <c r="G3538" i="33"/>
  <c r="J128" i="5"/>
  <c r="K128" i="5" s="1"/>
  <c r="H128" i="5"/>
  <c r="G4861" i="33"/>
  <c r="G3080" i="33"/>
  <c r="G1739" i="33"/>
  <c r="F1719" i="33" s="1"/>
  <c r="G203" i="5" s="1"/>
  <c r="H203" i="5" s="1"/>
  <c r="G1763" i="33"/>
  <c r="F1743" i="33" s="1"/>
  <c r="G204" i="5" s="1"/>
  <c r="G2415" i="33"/>
  <c r="F2395" i="33" s="1"/>
  <c r="G235" i="5" s="1"/>
  <c r="G2799" i="33"/>
  <c r="F2779" i="33" s="1"/>
  <c r="G251" i="5" s="1"/>
  <c r="G1124" i="33"/>
  <c r="G507" i="33"/>
  <c r="G515" i="33" s="1"/>
  <c r="F492" i="33" s="1"/>
  <c r="G153" i="5" s="1"/>
  <c r="H153" i="5" s="1"/>
  <c r="G5383" i="33"/>
  <c r="G2439" i="33"/>
  <c r="F2419" i="33" s="1"/>
  <c r="G236" i="5" s="1"/>
  <c r="G1034" i="33"/>
  <c r="J38" i="5"/>
  <c r="K38" i="5" s="1"/>
  <c r="G4782" i="33"/>
  <c r="G4908" i="33"/>
  <c r="J255" i="5"/>
  <c r="K255" i="5" s="1"/>
  <c r="H255" i="5"/>
  <c r="G4793" i="33"/>
  <c r="G4914" i="33"/>
  <c r="G5205" i="33"/>
  <c r="G5297" i="33"/>
  <c r="G5366" i="33"/>
  <c r="G5492" i="33"/>
  <c r="G5182" i="33"/>
  <c r="G5274" i="33"/>
  <c r="G5343" i="33"/>
  <c r="G5435" i="33"/>
  <c r="J250" i="5"/>
  <c r="K250" i="5" s="1"/>
  <c r="C5608" i="33"/>
  <c r="K103" i="5"/>
  <c r="H168" i="5"/>
  <c r="K608" i="5"/>
  <c r="K379" i="5"/>
  <c r="H138" i="5"/>
  <c r="J196" i="5"/>
  <c r="K196" i="5" s="1"/>
  <c r="H223" i="5"/>
  <c r="K609" i="5"/>
  <c r="J220" i="5"/>
  <c r="K220" i="5" s="1"/>
  <c r="H216" i="5"/>
  <c r="H218" i="5"/>
  <c r="J245" i="5"/>
  <c r="K245" i="5" s="1"/>
  <c r="H207" i="5"/>
  <c r="G3787" i="33"/>
  <c r="G3789" i="33" s="1"/>
  <c r="J215" i="5"/>
  <c r="K215" i="5" s="1"/>
  <c r="K124" i="5"/>
  <c r="H244" i="5"/>
  <c r="J228" i="5"/>
  <c r="K228" i="5" s="1"/>
  <c r="J213" i="5"/>
  <c r="K213" i="5" s="1"/>
  <c r="K30" i="5"/>
  <c r="K29" i="5" s="1"/>
  <c r="K380" i="5"/>
  <c r="J158" i="5"/>
  <c r="K158" i="5" s="1"/>
  <c r="J192" i="5"/>
  <c r="K192" i="5" s="1"/>
  <c r="H219" i="5"/>
  <c r="H248" i="5"/>
  <c r="K284" i="5"/>
  <c r="K129" i="5"/>
  <c r="G4747" i="33"/>
  <c r="G4749" i="33" s="1"/>
  <c r="J198" i="5"/>
  <c r="K198" i="5" s="1"/>
  <c r="H198" i="5"/>
  <c r="H225" i="5"/>
  <c r="H193" i="5"/>
  <c r="J193" i="5"/>
  <c r="K193" i="5" s="1"/>
  <c r="H230" i="5"/>
  <c r="K123" i="5"/>
  <c r="J259" i="5"/>
  <c r="K259" i="5" s="1"/>
  <c r="H259" i="5"/>
  <c r="K647" i="5"/>
  <c r="F102" i="38" s="1"/>
  <c r="J164" i="5"/>
  <c r="K164" i="5" s="1"/>
  <c r="H191" i="5"/>
  <c r="J191" i="5"/>
  <c r="K191" i="5" s="1"/>
  <c r="J239" i="5"/>
  <c r="K239" i="5" s="1"/>
  <c r="H239" i="5"/>
  <c r="K593" i="5"/>
  <c r="R61" i="23" s="1"/>
  <c r="K643" i="5"/>
  <c r="F101" i="38" s="1"/>
  <c r="H221" i="5"/>
  <c r="H238" i="5"/>
  <c r="K597" i="5"/>
  <c r="R63" i="23" s="1"/>
  <c r="K533" i="5"/>
  <c r="R53" i="23" s="1"/>
  <c r="K681" i="5"/>
  <c r="F108" i="38" s="1"/>
  <c r="H163" i="5"/>
  <c r="J163" i="5"/>
  <c r="K163" i="5" s="1"/>
  <c r="K312" i="5"/>
  <c r="K71" i="5"/>
  <c r="K392" i="5"/>
  <c r="F70" i="38" s="1"/>
  <c r="K402" i="5"/>
  <c r="F71" i="38" s="1"/>
  <c r="K675" i="5"/>
  <c r="F106" i="38" s="1"/>
  <c r="K570" i="5"/>
  <c r="K580" i="5"/>
  <c r="K661" i="5"/>
  <c r="K716" i="5"/>
  <c r="F114" i="38" s="1"/>
  <c r="K23" i="5"/>
  <c r="K623" i="5"/>
  <c r="F100" i="38" s="1"/>
  <c r="K545" i="5"/>
  <c r="K616" i="5"/>
  <c r="F99" i="38" s="1"/>
  <c r="K685" i="5"/>
  <c r="F109" i="38" s="1"/>
  <c r="K703" i="5"/>
  <c r="F110" i="38" s="1"/>
  <c r="K708" i="5"/>
  <c r="F112" i="38" s="1"/>
  <c r="K720" i="5"/>
  <c r="F115" i="38" s="1"/>
  <c r="K729" i="5"/>
  <c r="J86" i="5"/>
  <c r="K86" i="5" s="1"/>
  <c r="K610" i="5"/>
  <c r="C5584" i="33"/>
  <c r="G3803" i="33" l="1"/>
  <c r="F3784" i="33" s="1"/>
  <c r="G445" i="5" s="1"/>
  <c r="H445" i="5" s="1"/>
  <c r="G3546" i="33"/>
  <c r="F3527" i="33" s="1"/>
  <c r="G430" i="5" s="1"/>
  <c r="J430" i="5" s="1"/>
  <c r="K430" i="5" s="1"/>
  <c r="G5329" i="33"/>
  <c r="G5331" i="33" s="1"/>
  <c r="G3553" i="33"/>
  <c r="G3555" i="33" s="1"/>
  <c r="G3569" i="33" s="1"/>
  <c r="F3550" i="33" s="1"/>
  <c r="G432" i="5" s="1"/>
  <c r="H432" i="5" s="1"/>
  <c r="G5168" i="33"/>
  <c r="G5170" i="33" s="1"/>
  <c r="G3072" i="33"/>
  <c r="G3074" i="33" s="1"/>
  <c r="G5260" i="33"/>
  <c r="G5262" i="33" s="1"/>
  <c r="G3118" i="33"/>
  <c r="G3120" i="33" s="1"/>
  <c r="G3134" i="33" s="1"/>
  <c r="F3115" i="33" s="1"/>
  <c r="G270" i="5" s="1"/>
  <c r="J270" i="5" s="1"/>
  <c r="K270" i="5" s="1"/>
  <c r="G3460" i="33"/>
  <c r="G3462" i="33" s="1"/>
  <c r="G3477" i="33" s="1"/>
  <c r="F3457" i="33" s="1"/>
  <c r="G426" i="5" s="1"/>
  <c r="H426" i="5" s="1"/>
  <c r="G4398" i="33"/>
  <c r="G4400" i="33" s="1"/>
  <c r="G4414" i="33" s="1"/>
  <c r="F4395" i="33" s="1"/>
  <c r="G475" i="5" s="1"/>
  <c r="H475" i="5" s="1"/>
  <c r="G4129" i="33"/>
  <c r="G4131" i="33" s="1"/>
  <c r="G4145" i="33" s="1"/>
  <c r="F4126" i="33" s="1"/>
  <c r="G463" i="5" s="1"/>
  <c r="J463" i="5" s="1"/>
  <c r="K463" i="5" s="1"/>
  <c r="J209" i="5"/>
  <c r="K209" i="5" s="1"/>
  <c r="H209" i="5"/>
  <c r="G3741" i="33"/>
  <c r="G3743" i="33" s="1"/>
  <c r="G3757" i="33" s="1"/>
  <c r="F3738" i="33" s="1"/>
  <c r="G442" i="5" s="1"/>
  <c r="J442" i="5" s="1"/>
  <c r="K442" i="5" s="1"/>
  <c r="G4853" i="33"/>
  <c r="G4855" i="33" s="1"/>
  <c r="G4353" i="33"/>
  <c r="G4355" i="33" s="1"/>
  <c r="G4369" i="33" s="1"/>
  <c r="F4350" i="33" s="1"/>
  <c r="G473" i="5" s="1"/>
  <c r="J473" i="5" s="1"/>
  <c r="K473" i="5" s="1"/>
  <c r="G5421" i="33"/>
  <c r="G5423" i="33" s="1"/>
  <c r="G5483" i="33"/>
  <c r="F5464" i="33" s="1"/>
  <c r="G509" i="5" s="1"/>
  <c r="H509" i="5" s="1"/>
  <c r="G3695" i="33"/>
  <c r="G3697" i="33" s="1"/>
  <c r="G3711" i="33" s="1"/>
  <c r="F3692" i="33" s="1"/>
  <c r="G440" i="5" s="1"/>
  <c r="J440" i="5" s="1"/>
  <c r="K440" i="5" s="1"/>
  <c r="G3879" i="33"/>
  <c r="G3881" i="33" s="1"/>
  <c r="G3895" i="33" s="1"/>
  <c r="F3876" i="33" s="1"/>
  <c r="G450" i="5" s="1"/>
  <c r="J450" i="5" s="1"/>
  <c r="K450" i="5" s="1"/>
  <c r="G3576" i="33"/>
  <c r="G3578" i="33" s="1"/>
  <c r="G3592" i="33" s="1"/>
  <c r="F3573" i="33" s="1"/>
  <c r="G433" i="5" s="1"/>
  <c r="J433" i="5" s="1"/>
  <c r="K433" i="5" s="1"/>
  <c r="G4083" i="33"/>
  <c r="G4085" i="33" s="1"/>
  <c r="G4099" i="33" s="1"/>
  <c r="F4080" i="33" s="1"/>
  <c r="G461" i="5" s="1"/>
  <c r="G3141" i="33"/>
  <c r="G3143" i="33" s="1"/>
  <c r="G3157" i="33" s="1"/>
  <c r="F3138" i="33" s="1"/>
  <c r="G271" i="5" s="1"/>
  <c r="H271" i="5" s="1"/>
  <c r="H202" i="5"/>
  <c r="G3436" i="33"/>
  <c r="G3438" i="33" s="1"/>
  <c r="G3453" i="33" s="1"/>
  <c r="F3433" i="33" s="1"/>
  <c r="G425" i="5" s="1"/>
  <c r="J425" i="5" s="1"/>
  <c r="K425" i="5" s="1"/>
  <c r="G4039" i="33"/>
  <c r="G4041" i="33" s="1"/>
  <c r="G4055" i="33" s="1"/>
  <c r="F4036" i="33" s="1"/>
  <c r="G459" i="5" s="1"/>
  <c r="H459" i="5" s="1"/>
  <c r="G3833" i="33"/>
  <c r="G3835" i="33" s="1"/>
  <c r="G3849" i="33" s="1"/>
  <c r="F3830" i="33" s="1"/>
  <c r="G447" i="5" s="1"/>
  <c r="J447" i="5" s="1"/>
  <c r="K447" i="5" s="1"/>
  <c r="G5237" i="33"/>
  <c r="G5239" i="33" s="1"/>
  <c r="G5253" i="33" s="1"/>
  <c r="F5234" i="33" s="1"/>
  <c r="G389" i="5" s="1"/>
  <c r="H389" i="5" s="1"/>
  <c r="G4802" i="33"/>
  <c r="G4804" i="33" s="1"/>
  <c r="G4823" i="33" s="1"/>
  <c r="F4799" i="33" s="1"/>
  <c r="G496" i="5" s="1"/>
  <c r="H496" i="5" s="1"/>
  <c r="G5352" i="33"/>
  <c r="G5354" i="33" s="1"/>
  <c r="G5368" i="33" s="1"/>
  <c r="F5349" i="33" s="1"/>
  <c r="G504" i="5" s="1"/>
  <c r="H504" i="5" s="1"/>
  <c r="G5145" i="33"/>
  <c r="G5147" i="33" s="1"/>
  <c r="G5161" i="33" s="1"/>
  <c r="F5142" i="33" s="1"/>
  <c r="G385" i="5" s="1"/>
  <c r="H385" i="5" s="1"/>
  <c r="G4531" i="33"/>
  <c r="G4533" i="33" s="1"/>
  <c r="G4547" i="33" s="1"/>
  <c r="F4528" i="33" s="1"/>
  <c r="G481" i="5" s="1"/>
  <c r="J481" i="5" s="1"/>
  <c r="K481" i="5" s="1"/>
  <c r="G3412" i="33"/>
  <c r="G3414" i="33" s="1"/>
  <c r="G3429" i="33" s="1"/>
  <c r="F3409" i="33" s="1"/>
  <c r="G424" i="5" s="1"/>
  <c r="H424" i="5" s="1"/>
  <c r="G3017" i="33"/>
  <c r="J232" i="5"/>
  <c r="K232" i="5" s="1"/>
  <c r="G1019" i="33"/>
  <c r="F993" i="33" s="1"/>
  <c r="G179" i="5" s="1"/>
  <c r="H179" i="5" s="1"/>
  <c r="G3872" i="33"/>
  <c r="F3853" i="33" s="1"/>
  <c r="G448" i="5" s="1"/>
  <c r="J448" i="5" s="1"/>
  <c r="K448" i="5" s="1"/>
  <c r="G4190" i="33"/>
  <c r="F4171" i="33" s="1"/>
  <c r="G465" i="5" s="1"/>
  <c r="J465" i="5" s="1"/>
  <c r="K465" i="5" s="1"/>
  <c r="J241" i="5"/>
  <c r="K241" i="5" s="1"/>
  <c r="H249" i="5"/>
  <c r="G3111" i="33"/>
  <c r="F3092" i="33" s="1"/>
  <c r="G269" i="5" s="1"/>
  <c r="H269" i="5" s="1"/>
  <c r="H167" i="5"/>
  <c r="G3638" i="33"/>
  <c r="F3619" i="33" s="1"/>
  <c r="G435" i="5" s="1"/>
  <c r="J435" i="5" s="1"/>
  <c r="K435" i="5" s="1"/>
  <c r="G3182" i="33"/>
  <c r="F3161" i="33" s="1"/>
  <c r="G273" i="5" s="1"/>
  <c r="H273" i="5" s="1"/>
  <c r="G4716" i="33"/>
  <c r="F4695" i="33" s="1"/>
  <c r="G491" i="5" s="1"/>
  <c r="H491" i="5" s="1"/>
  <c r="G4616" i="33"/>
  <c r="F4597" i="33" s="1"/>
  <c r="G485" i="5" s="1"/>
  <c r="J485" i="5" s="1"/>
  <c r="K485" i="5" s="1"/>
  <c r="G5067" i="33"/>
  <c r="F5040" i="33" s="1"/>
  <c r="G296" i="5" s="1"/>
  <c r="H296" i="5" s="1"/>
  <c r="G4666" i="33"/>
  <c r="F4645" i="33" s="1"/>
  <c r="G489" i="5" s="1"/>
  <c r="H489" i="5" s="1"/>
  <c r="G4846" i="33"/>
  <c r="F4827" i="33" s="1"/>
  <c r="G498" i="5" s="1"/>
  <c r="H498" i="5" s="1"/>
  <c r="G3523" i="33"/>
  <c r="F3504" i="33" s="1"/>
  <c r="G429" i="5" s="1"/>
  <c r="H429" i="5" s="1"/>
  <c r="G4964" i="33"/>
  <c r="F4944" i="33" s="1"/>
  <c r="G304" i="5" s="1"/>
  <c r="J304" i="5" s="1"/>
  <c r="K304" i="5" s="1"/>
  <c r="G3376" i="33"/>
  <c r="F3352" i="33" s="1"/>
  <c r="G421" i="5" s="1"/>
  <c r="J421" i="5" s="1"/>
  <c r="K421" i="5" s="1"/>
  <c r="K132" i="5"/>
  <c r="F45" i="38" s="1"/>
  <c r="J201" i="5"/>
  <c r="K201" i="5" s="1"/>
  <c r="G4324" i="33"/>
  <c r="F4305" i="33" s="1"/>
  <c r="G471" i="5" s="1"/>
  <c r="J471" i="5" s="1"/>
  <c r="K471" i="5" s="1"/>
  <c r="H169" i="5"/>
  <c r="J243" i="5"/>
  <c r="K243" i="5" s="1"/>
  <c r="J212" i="5"/>
  <c r="K212" i="5" s="1"/>
  <c r="K109" i="5"/>
  <c r="G4691" i="33"/>
  <c r="F4670" i="33" s="1"/>
  <c r="G490" i="5" s="1"/>
  <c r="J490" i="5" s="1"/>
  <c r="K490" i="5" s="1"/>
  <c r="G3964" i="33"/>
  <c r="F3945" i="33" s="1"/>
  <c r="G455" i="5" s="1"/>
  <c r="H455" i="5" s="1"/>
  <c r="J210" i="5"/>
  <c r="K210" i="5" s="1"/>
  <c r="G3734" i="33"/>
  <c r="F3715" i="33" s="1"/>
  <c r="G441" i="5" s="1"/>
  <c r="J441" i="5" s="1"/>
  <c r="K441" i="5" s="1"/>
  <c r="G4235" i="33"/>
  <c r="F4216" i="33" s="1"/>
  <c r="G467" i="5" s="1"/>
  <c r="H467" i="5" s="1"/>
  <c r="H33" i="23"/>
  <c r="G4503" i="33"/>
  <c r="F4484" i="33" s="1"/>
  <c r="G479" i="5" s="1"/>
  <c r="J479" i="5" s="1"/>
  <c r="K479" i="5" s="1"/>
  <c r="G3941" i="33"/>
  <c r="F3922" i="33" s="1"/>
  <c r="G454" i="5" s="1"/>
  <c r="J454" i="5" s="1"/>
  <c r="K454" i="5" s="1"/>
  <c r="G3615" i="33"/>
  <c r="F3596" i="33" s="1"/>
  <c r="G434" i="5" s="1"/>
  <c r="J434" i="5" s="1"/>
  <c r="K434" i="5" s="1"/>
  <c r="G3663" i="33"/>
  <c r="F3642" i="33" s="1"/>
  <c r="G437" i="5" s="1"/>
  <c r="H437" i="5" s="1"/>
  <c r="G3042" i="33"/>
  <c r="F3021" i="33" s="1"/>
  <c r="G266" i="5" s="1"/>
  <c r="J266" i="5" s="1"/>
  <c r="K266" i="5" s="1"/>
  <c r="G3688" i="33"/>
  <c r="F3667" i="33" s="1"/>
  <c r="G438" i="5" s="1"/>
  <c r="H438" i="5" s="1"/>
  <c r="J166" i="5"/>
  <c r="K166" i="5" s="1"/>
  <c r="F24" i="38"/>
  <c r="F23" i="38" s="1"/>
  <c r="R23" i="23" s="1"/>
  <c r="C33" i="23"/>
  <c r="P33" i="23"/>
  <c r="G33" i="23"/>
  <c r="I33" i="23"/>
  <c r="O33" i="23"/>
  <c r="F33" i="23"/>
  <c r="K33" i="23"/>
  <c r="G4767" i="33"/>
  <c r="F4744" i="33" s="1"/>
  <c r="G494" i="5" s="1"/>
  <c r="H494" i="5" s="1"/>
  <c r="H188" i="5"/>
  <c r="G3268" i="33"/>
  <c r="F3244" i="33" s="1"/>
  <c r="G417" i="5" s="1"/>
  <c r="J417" i="5" s="1"/>
  <c r="K417" i="5" s="1"/>
  <c r="G277" i="5"/>
  <c r="H277" i="5" s="1"/>
  <c r="G4740" i="33"/>
  <c r="F4720" i="33" s="1"/>
  <c r="G492" i="5" s="1"/>
  <c r="J492" i="5" s="1"/>
  <c r="K492" i="5" s="1"/>
  <c r="G4869" i="33"/>
  <c r="F4850" i="33" s="1"/>
  <c r="G500" i="5" s="1"/>
  <c r="H500" i="5" s="1"/>
  <c r="G3210" i="33"/>
  <c r="F3186" i="33" s="1"/>
  <c r="G415" i="5" s="1"/>
  <c r="J415" i="5" s="1"/>
  <c r="K415" i="5" s="1"/>
  <c r="G5506" i="33"/>
  <c r="F5487" i="33" s="1"/>
  <c r="G523" i="5" s="1"/>
  <c r="J523" i="5" s="1"/>
  <c r="K523" i="5" s="1"/>
  <c r="G1109" i="33"/>
  <c r="F1083" i="33" s="1"/>
  <c r="G90" i="5" s="1"/>
  <c r="J90" i="5" s="1"/>
  <c r="K90" i="5" s="1"/>
  <c r="J156" i="5"/>
  <c r="K156" i="5" s="1"/>
  <c r="H156" i="5"/>
  <c r="G3826" i="33"/>
  <c r="F3807" i="33" s="1"/>
  <c r="G446" i="5" s="1"/>
  <c r="H446" i="5" s="1"/>
  <c r="G3322" i="33"/>
  <c r="F3298" i="33" s="1"/>
  <c r="G419" i="5" s="1"/>
  <c r="J419" i="5" s="1"/>
  <c r="K419" i="5" s="1"/>
  <c r="G1079" i="33"/>
  <c r="F1053" i="33" s="1"/>
  <c r="G89" i="5" s="1"/>
  <c r="J89" i="5" s="1"/>
  <c r="K89" i="5" s="1"/>
  <c r="G5138" i="33"/>
  <c r="F5119" i="33" s="1"/>
  <c r="G384" i="5" s="1"/>
  <c r="J384" i="5" s="1"/>
  <c r="K384" i="5" s="1"/>
  <c r="G1139" i="33"/>
  <c r="F1113" i="33" s="1"/>
  <c r="G91" i="5" s="1"/>
  <c r="J91" i="5" s="1"/>
  <c r="K91" i="5" s="1"/>
  <c r="G4795" i="33"/>
  <c r="F4771" i="33" s="1"/>
  <c r="G495" i="5" s="1"/>
  <c r="H495" i="5" s="1"/>
  <c r="G928" i="33"/>
  <c r="F901" i="33" s="1"/>
  <c r="G176" i="5" s="1"/>
  <c r="J176" i="5" s="1"/>
  <c r="K176" i="5" s="1"/>
  <c r="J205" i="5"/>
  <c r="K205" i="5" s="1"/>
  <c r="J153" i="5"/>
  <c r="K153" i="5" s="1"/>
  <c r="J187" i="5"/>
  <c r="K187" i="5" s="1"/>
  <c r="G1049" i="33"/>
  <c r="F1023" i="33" s="1"/>
  <c r="G180" i="5" s="1"/>
  <c r="J180" i="5" s="1"/>
  <c r="K180" i="5" s="1"/>
  <c r="J63" i="5"/>
  <c r="K63" i="5" s="1"/>
  <c r="H63" i="5"/>
  <c r="G4940" i="33"/>
  <c r="F4920" i="33" s="1"/>
  <c r="G303" i="5" s="1"/>
  <c r="H303" i="5" s="1"/>
  <c r="G865" i="33"/>
  <c r="F838" i="33" s="1"/>
  <c r="G174" i="5" s="1"/>
  <c r="J174" i="5" s="1"/>
  <c r="K174" i="5" s="1"/>
  <c r="G4459" i="33"/>
  <c r="F4440" i="33" s="1"/>
  <c r="G477" i="5" s="1"/>
  <c r="G989" i="33"/>
  <c r="F963" i="33" s="1"/>
  <c r="G178" i="5" s="1"/>
  <c r="H178" i="5" s="1"/>
  <c r="G4641" i="33"/>
  <c r="F4620" i="33" s="1"/>
  <c r="G488" i="5" s="1"/>
  <c r="J488" i="5" s="1"/>
  <c r="K488" i="5" s="1"/>
  <c r="G4593" i="33"/>
  <c r="F4573" i="33" s="1"/>
  <c r="G484" i="5" s="1"/>
  <c r="J484" i="5" s="1"/>
  <c r="K484" i="5" s="1"/>
  <c r="G897" i="33"/>
  <c r="F870" i="33" s="1"/>
  <c r="G175" i="5" s="1"/>
  <c r="H175" i="5" s="1"/>
  <c r="G5460" i="33"/>
  <c r="F5441" i="33" s="1"/>
  <c r="G508" i="5" s="1"/>
  <c r="J508" i="5" s="1"/>
  <c r="K508" i="5" s="1"/>
  <c r="G4280" i="33"/>
  <c r="F4261" i="33" s="1"/>
  <c r="G469" i="5" s="1"/>
  <c r="H469" i="5" s="1"/>
  <c r="G5092" i="33"/>
  <c r="F5071" i="33" s="1"/>
  <c r="J200" i="5"/>
  <c r="K200" i="5" s="1"/>
  <c r="H200" i="5"/>
  <c r="G5322" i="33"/>
  <c r="F5303" i="33" s="1"/>
  <c r="G502" i="5" s="1"/>
  <c r="J502" i="5" s="1"/>
  <c r="K502" i="5" s="1"/>
  <c r="G4971" i="33"/>
  <c r="G4973" i="33" s="1"/>
  <c r="G4988" i="33" s="1"/>
  <c r="F4968" i="33" s="1"/>
  <c r="G305" i="5" s="1"/>
  <c r="J305" i="5" s="1"/>
  <c r="K305" i="5" s="1"/>
  <c r="J149" i="5"/>
  <c r="K149" i="5" s="1"/>
  <c r="H149" i="5"/>
  <c r="G959" i="33"/>
  <c r="F932" i="33" s="1"/>
  <c r="G177" i="5" s="1"/>
  <c r="J177" i="5" s="1"/>
  <c r="K177" i="5" s="1"/>
  <c r="G5414" i="33"/>
  <c r="F5395" i="33" s="1"/>
  <c r="G506" i="5" s="1"/>
  <c r="J506" i="5" s="1"/>
  <c r="K506" i="5" s="1"/>
  <c r="G3780" i="33"/>
  <c r="F3761" i="33" s="1"/>
  <c r="G443" i="5" s="1"/>
  <c r="J443" i="5" s="1"/>
  <c r="K443" i="5" s="1"/>
  <c r="G1169" i="33"/>
  <c r="F1143" i="33" s="1"/>
  <c r="G92" i="5" s="1"/>
  <c r="H92" i="5" s="1"/>
  <c r="H189" i="5"/>
  <c r="G3918" i="33"/>
  <c r="F3899" i="33" s="1"/>
  <c r="G452" i="5" s="1"/>
  <c r="J452" i="5" s="1"/>
  <c r="K452" i="5" s="1"/>
  <c r="J36" i="5"/>
  <c r="K36" i="5" s="1"/>
  <c r="H36" i="5"/>
  <c r="G5230" i="33"/>
  <c r="F5211" i="33" s="1"/>
  <c r="G388" i="5" s="1"/>
  <c r="J388" i="5" s="1"/>
  <c r="K388" i="5" s="1"/>
  <c r="G5207" i="33"/>
  <c r="F5188" i="33" s="1"/>
  <c r="G387" i="5" s="1"/>
  <c r="J387" i="5" s="1"/>
  <c r="K387" i="5" s="1"/>
  <c r="G5437" i="33"/>
  <c r="F5418" i="33" s="1"/>
  <c r="G507" i="5" s="1"/>
  <c r="J507" i="5" s="1"/>
  <c r="K507" i="5" s="1"/>
  <c r="J184" i="5"/>
  <c r="K184" i="5" s="1"/>
  <c r="G4010" i="33"/>
  <c r="F3991" i="33" s="1"/>
  <c r="G457" i="5" s="1"/>
  <c r="J183" i="5"/>
  <c r="K183" i="5" s="1"/>
  <c r="H183" i="5"/>
  <c r="G5299" i="33"/>
  <c r="F5280" i="33" s="1"/>
  <c r="G391" i="5" s="1"/>
  <c r="H391" i="5" s="1"/>
  <c r="J186" i="5"/>
  <c r="K186" i="5" s="1"/>
  <c r="G3088" i="33"/>
  <c r="F3069" i="33" s="1"/>
  <c r="G3065" i="33"/>
  <c r="F3046" i="33" s="1"/>
  <c r="G267" i="5" s="1"/>
  <c r="J267" i="5" s="1"/>
  <c r="K267" i="5" s="1"/>
  <c r="G5391" i="33"/>
  <c r="F5372" i="33" s="1"/>
  <c r="G505" i="5" s="1"/>
  <c r="H505" i="5" s="1"/>
  <c r="G1201" i="33"/>
  <c r="F1173" i="33" s="1"/>
  <c r="G182" i="5" s="1"/>
  <c r="J203" i="5"/>
  <c r="K203" i="5" s="1"/>
  <c r="J39" i="5"/>
  <c r="K39" i="5" s="1"/>
  <c r="H39" i="5"/>
  <c r="D33" i="23"/>
  <c r="E33" i="23"/>
  <c r="J33" i="23"/>
  <c r="G5345" i="33"/>
  <c r="F5326" i="33" s="1"/>
  <c r="G503" i="5" s="1"/>
  <c r="H503" i="5" s="1"/>
  <c r="G531" i="5"/>
  <c r="H531" i="5" s="1"/>
  <c r="G280" i="5"/>
  <c r="J280" i="5" s="1"/>
  <c r="K280" i="5" s="1"/>
  <c r="J295" i="5"/>
  <c r="K295" i="5" s="1"/>
  <c r="N33" i="23"/>
  <c r="L33" i="23"/>
  <c r="Q33" i="23"/>
  <c r="G5276" i="33"/>
  <c r="F5257" i="33" s="1"/>
  <c r="G390" i="5" s="1"/>
  <c r="J390" i="5" s="1"/>
  <c r="K390" i="5" s="1"/>
  <c r="K118" i="5"/>
  <c r="F44" i="38" s="1"/>
  <c r="G4899" i="33"/>
  <c r="G4901" i="33" s="1"/>
  <c r="G4916" i="33" s="1"/>
  <c r="F4896" i="33" s="1"/>
  <c r="G302" i="5" s="1"/>
  <c r="H302" i="5" s="1"/>
  <c r="F85" i="38"/>
  <c r="G5184" i="33"/>
  <c r="F5165" i="33" s="1"/>
  <c r="G386" i="5" s="1"/>
  <c r="H386" i="5" s="1"/>
  <c r="G87" i="5"/>
  <c r="J87" i="5" s="1"/>
  <c r="K87" i="5" s="1"/>
  <c r="K82" i="5" s="1"/>
  <c r="F36" i="38" s="1"/>
  <c r="H146" i="5"/>
  <c r="J146" i="5"/>
  <c r="K146" i="5" s="1"/>
  <c r="J236" i="5"/>
  <c r="K236" i="5" s="1"/>
  <c r="H236" i="5"/>
  <c r="J211" i="5"/>
  <c r="K211" i="5" s="1"/>
  <c r="H211" i="5"/>
  <c r="J251" i="5"/>
  <c r="K251" i="5" s="1"/>
  <c r="H251" i="5"/>
  <c r="J179" i="5"/>
  <c r="K179" i="5" s="1"/>
  <c r="J235" i="5"/>
  <c r="K235" i="5" s="1"/>
  <c r="H235" i="5"/>
  <c r="J165" i="5"/>
  <c r="K165" i="5" s="1"/>
  <c r="H165" i="5"/>
  <c r="J206" i="5"/>
  <c r="K206" i="5" s="1"/>
  <c r="H206" i="5"/>
  <c r="J204" i="5"/>
  <c r="K204" i="5" s="1"/>
  <c r="H204" i="5"/>
  <c r="F95" i="38"/>
  <c r="F93" i="38"/>
  <c r="G278" i="5"/>
  <c r="J278" i="5" s="1"/>
  <c r="K278" i="5" s="1"/>
  <c r="G528" i="5"/>
  <c r="J528" i="5" s="1"/>
  <c r="K528" i="5" s="1"/>
  <c r="H430" i="5"/>
  <c r="J445" i="5"/>
  <c r="K445" i="5" s="1"/>
  <c r="K606" i="5"/>
  <c r="K605" i="5" s="1"/>
  <c r="J307" i="5"/>
  <c r="K307" i="5" s="1"/>
  <c r="H298" i="5"/>
  <c r="J428" i="5"/>
  <c r="K428" i="5" s="1"/>
  <c r="H428" i="5"/>
  <c r="J426" i="5"/>
  <c r="K426" i="5" s="1"/>
  <c r="F58" i="38"/>
  <c r="F57" i="38" s="1"/>
  <c r="R41" i="23" s="1"/>
  <c r="K283" i="5"/>
  <c r="J67" i="5"/>
  <c r="K67" i="5" s="1"/>
  <c r="K66" i="5" s="1"/>
  <c r="H67" i="5"/>
  <c r="F89" i="38"/>
  <c r="R57" i="23"/>
  <c r="R59" i="23"/>
  <c r="F91" i="38"/>
  <c r="K20" i="5"/>
  <c r="O54" i="23"/>
  <c r="F54" i="23"/>
  <c r="I54" i="23"/>
  <c r="G54" i="23"/>
  <c r="J54" i="23"/>
  <c r="L54" i="23"/>
  <c r="K54" i="23"/>
  <c r="C54" i="23"/>
  <c r="Q54" i="23"/>
  <c r="H54" i="23"/>
  <c r="N54" i="23"/>
  <c r="D54" i="23"/>
  <c r="P54" i="23"/>
  <c r="E54" i="23"/>
  <c r="M54" i="23"/>
  <c r="F105" i="38"/>
  <c r="K660" i="5"/>
  <c r="F87" i="38"/>
  <c r="R55" i="23"/>
  <c r="K311" i="5"/>
  <c r="F66" i="38"/>
  <c r="J529" i="5"/>
  <c r="K529" i="5" s="1"/>
  <c r="H529" i="5"/>
  <c r="F34" i="38"/>
  <c r="R69" i="23"/>
  <c r="F119" i="38"/>
  <c r="M64" i="23"/>
  <c r="C64" i="23"/>
  <c r="O64" i="23"/>
  <c r="J64" i="23"/>
  <c r="I64" i="23"/>
  <c r="P64" i="23"/>
  <c r="D64" i="23"/>
  <c r="N64" i="23"/>
  <c r="H64" i="23"/>
  <c r="F64" i="23"/>
  <c r="Q64" i="23"/>
  <c r="E64" i="23"/>
  <c r="G64" i="23"/>
  <c r="L64" i="23"/>
  <c r="K64" i="23"/>
  <c r="Q62" i="23"/>
  <c r="J62" i="23"/>
  <c r="E62" i="23"/>
  <c r="I62" i="23"/>
  <c r="G62" i="23"/>
  <c r="C62" i="23"/>
  <c r="K62" i="23"/>
  <c r="P62" i="23"/>
  <c r="F62" i="23"/>
  <c r="M62" i="23"/>
  <c r="H62" i="23"/>
  <c r="L62" i="23"/>
  <c r="O62" i="23"/>
  <c r="D62" i="23"/>
  <c r="N62" i="23"/>
  <c r="J509" i="5" l="1"/>
  <c r="K509" i="5" s="1"/>
  <c r="H441" i="5"/>
  <c r="H463" i="5"/>
  <c r="J475" i="5"/>
  <c r="K475" i="5" s="1"/>
  <c r="H461" i="5"/>
  <c r="J461" i="5"/>
  <c r="K461" i="5" s="1"/>
  <c r="J489" i="5"/>
  <c r="K489" i="5" s="1"/>
  <c r="J273" i="5"/>
  <c r="K273" i="5" s="1"/>
  <c r="H448" i="5"/>
  <c r="J432" i="5"/>
  <c r="K432" i="5" s="1"/>
  <c r="H433" i="5"/>
  <c r="H457" i="5"/>
  <c r="J457" i="5"/>
  <c r="K457" i="5" s="1"/>
  <c r="H465" i="5"/>
  <c r="H304" i="5"/>
  <c r="J491" i="5"/>
  <c r="K491" i="5" s="1"/>
  <c r="J459" i="5"/>
  <c r="K459" i="5" s="1"/>
  <c r="H485" i="5"/>
  <c r="J296" i="5"/>
  <c r="K296" i="5" s="1"/>
  <c r="K294" i="5" s="1"/>
  <c r="F62" i="38" s="1"/>
  <c r="H421" i="5"/>
  <c r="J269" i="5"/>
  <c r="K269" i="5" s="1"/>
  <c r="K483" i="5"/>
  <c r="F75" i="38" s="1"/>
  <c r="H481" i="5"/>
  <c r="H450" i="5"/>
  <c r="H266" i="5"/>
  <c r="J429" i="5"/>
  <c r="K429" i="5" s="1"/>
  <c r="H435" i="5"/>
  <c r="H434" i="5"/>
  <c r="H471" i="5"/>
  <c r="J498" i="5"/>
  <c r="K498" i="5" s="1"/>
  <c r="K497" i="5" s="1"/>
  <c r="F77" i="38" s="1"/>
  <c r="J455" i="5"/>
  <c r="K455" i="5" s="1"/>
  <c r="J271" i="5"/>
  <c r="K271" i="5" s="1"/>
  <c r="H89" i="5"/>
  <c r="K144" i="5"/>
  <c r="F48" i="38" s="1"/>
  <c r="J424" i="5"/>
  <c r="K424" i="5" s="1"/>
  <c r="J469" i="5"/>
  <c r="K469" i="5" s="1"/>
  <c r="H523" i="5"/>
  <c r="H176" i="5"/>
  <c r="H490" i="5"/>
  <c r="J437" i="5"/>
  <c r="K437" i="5" s="1"/>
  <c r="H90" i="5"/>
  <c r="J467" i="5"/>
  <c r="K467" i="5" s="1"/>
  <c r="J438" i="5"/>
  <c r="K438" i="5" s="1"/>
  <c r="H479" i="5"/>
  <c r="H454" i="5"/>
  <c r="J178" i="5"/>
  <c r="K178" i="5" s="1"/>
  <c r="H177" i="5"/>
  <c r="K155" i="5"/>
  <c r="F49" i="38" s="1"/>
  <c r="J175" i="5"/>
  <c r="K175" i="5" s="1"/>
  <c r="H91" i="5"/>
  <c r="J496" i="5"/>
  <c r="K496" i="5" s="1"/>
  <c r="H488" i="5"/>
  <c r="H180" i="5"/>
  <c r="J277" i="5"/>
  <c r="K277" i="5" s="1"/>
  <c r="K276" i="5" s="1"/>
  <c r="H305" i="5"/>
  <c r="J495" i="5"/>
  <c r="K495" i="5" s="1"/>
  <c r="J504" i="5"/>
  <c r="K504" i="5" s="1"/>
  <c r="H384" i="5"/>
  <c r="J385" i="5"/>
  <c r="K385" i="5" s="1"/>
  <c r="H415" i="5"/>
  <c r="J494" i="5"/>
  <c r="K494" i="5" s="1"/>
  <c r="J500" i="5"/>
  <c r="K500" i="5" s="1"/>
  <c r="K499" i="5" s="1"/>
  <c r="F78" i="38" s="1"/>
  <c r="J303" i="5"/>
  <c r="K303" i="5" s="1"/>
  <c r="H270" i="5"/>
  <c r="H443" i="5"/>
  <c r="H278" i="5"/>
  <c r="H502" i="5"/>
  <c r="J446" i="5"/>
  <c r="K446" i="5" s="1"/>
  <c r="H507" i="5"/>
  <c r="H388" i="5"/>
  <c r="H442" i="5"/>
  <c r="H447" i="5"/>
  <c r="H417" i="5"/>
  <c r="H280" i="5"/>
  <c r="H506" i="5"/>
  <c r="J503" i="5"/>
  <c r="K503" i="5" s="1"/>
  <c r="H492" i="5"/>
  <c r="H440" i="5"/>
  <c r="H419" i="5"/>
  <c r="J92" i="5"/>
  <c r="K92" i="5" s="1"/>
  <c r="K88" i="5" s="1"/>
  <c r="H174" i="5"/>
  <c r="H508" i="5"/>
  <c r="J531" i="5"/>
  <c r="K531" i="5" s="1"/>
  <c r="K530" i="5" s="1"/>
  <c r="F83" i="38" s="1"/>
  <c r="J389" i="5"/>
  <c r="K389" i="5" s="1"/>
  <c r="H387" i="5"/>
  <c r="K35" i="5"/>
  <c r="K34" i="5" s="1"/>
  <c r="H528" i="5"/>
  <c r="J477" i="5"/>
  <c r="K477" i="5" s="1"/>
  <c r="H477" i="5"/>
  <c r="H484" i="5"/>
  <c r="J391" i="5"/>
  <c r="K391" i="5" s="1"/>
  <c r="K117" i="5"/>
  <c r="H452" i="5"/>
  <c r="H425" i="5"/>
  <c r="H473" i="5"/>
  <c r="H267" i="5"/>
  <c r="J505" i="5"/>
  <c r="K505" i="5" s="1"/>
  <c r="J386" i="5"/>
  <c r="K386" i="5" s="1"/>
  <c r="H182" i="5"/>
  <c r="J182" i="5"/>
  <c r="K182" i="5" s="1"/>
  <c r="J302" i="5"/>
  <c r="K302" i="5" s="1"/>
  <c r="H390" i="5"/>
  <c r="H87" i="5"/>
  <c r="F98" i="38"/>
  <c r="Q42" i="23"/>
  <c r="J42" i="23"/>
  <c r="N42" i="23"/>
  <c r="C42" i="23"/>
  <c r="F42" i="23"/>
  <c r="E42" i="23"/>
  <c r="D42" i="23"/>
  <c r="G42" i="23"/>
  <c r="K42" i="23"/>
  <c r="O42" i="23"/>
  <c r="P42" i="23"/>
  <c r="K65" i="5"/>
  <c r="F30" i="38"/>
  <c r="F29" i="38" s="1"/>
  <c r="R27" i="23" s="1"/>
  <c r="F43" i="38"/>
  <c r="R34" i="23" s="1"/>
  <c r="F20" i="38"/>
  <c r="K19" i="5"/>
  <c r="F65" i="38"/>
  <c r="R45" i="23" s="1"/>
  <c r="N24" i="23"/>
  <c r="F24" i="23"/>
  <c r="D24" i="23"/>
  <c r="G24" i="23"/>
  <c r="C24" i="23"/>
  <c r="O24" i="23"/>
  <c r="K24" i="23"/>
  <c r="P24" i="23"/>
  <c r="J24" i="23"/>
  <c r="Q24" i="23"/>
  <c r="E24" i="23"/>
  <c r="G58" i="23"/>
  <c r="K58" i="23"/>
  <c r="L58" i="23"/>
  <c r="M58" i="23"/>
  <c r="H58" i="23"/>
  <c r="J58" i="23"/>
  <c r="Q58" i="23"/>
  <c r="F58" i="23"/>
  <c r="P58" i="23"/>
  <c r="I58" i="23"/>
  <c r="O58" i="23"/>
  <c r="E58" i="23"/>
  <c r="C58" i="23"/>
  <c r="N58" i="23"/>
  <c r="D58" i="23"/>
  <c r="K279" i="5"/>
  <c r="F54" i="38" s="1"/>
  <c r="K527" i="5"/>
  <c r="Q56" i="23"/>
  <c r="H56" i="23"/>
  <c r="I56" i="23"/>
  <c r="K56" i="23"/>
  <c r="J56" i="23"/>
  <c r="F56" i="23"/>
  <c r="E56" i="23"/>
  <c r="G56" i="23"/>
  <c r="D56" i="23"/>
  <c r="P56" i="23"/>
  <c r="N56" i="23"/>
  <c r="C56" i="23"/>
  <c r="O56" i="23"/>
  <c r="M56" i="23"/>
  <c r="L56" i="23"/>
  <c r="R67" i="23"/>
  <c r="F104" i="38"/>
  <c r="O60" i="23"/>
  <c r="F60" i="23"/>
  <c r="J60" i="23"/>
  <c r="Q60" i="23"/>
  <c r="D60" i="23"/>
  <c r="M60" i="23"/>
  <c r="H60" i="23"/>
  <c r="G60" i="23"/>
  <c r="I60" i="23"/>
  <c r="K60" i="23"/>
  <c r="P60" i="23"/>
  <c r="L60" i="23"/>
  <c r="E60" i="23"/>
  <c r="N60" i="23"/>
  <c r="C60" i="23"/>
  <c r="R65" i="23"/>
  <c r="F97" i="38"/>
  <c r="Q70" i="23"/>
  <c r="H70" i="23"/>
  <c r="C70" i="23"/>
  <c r="G70" i="23"/>
  <c r="L70" i="23"/>
  <c r="P70" i="23"/>
  <c r="J70" i="23"/>
  <c r="F70" i="23"/>
  <c r="D70" i="23"/>
  <c r="M70" i="23"/>
  <c r="I70" i="23"/>
  <c r="O70" i="23"/>
  <c r="K70" i="23"/>
  <c r="E70" i="23"/>
  <c r="N70" i="23"/>
  <c r="K413" i="5" l="1"/>
  <c r="F74" i="38" s="1"/>
  <c r="K486" i="5"/>
  <c r="F76" i="38" s="1"/>
  <c r="K297" i="5"/>
  <c r="F63" i="38" s="1"/>
  <c r="F61" i="38" s="1"/>
  <c r="K501" i="5"/>
  <c r="F79" i="38" s="1"/>
  <c r="F37" i="38"/>
  <c r="F33" i="38" s="1"/>
  <c r="R30" i="23" s="1"/>
  <c r="K70" i="5"/>
  <c r="K329" i="5"/>
  <c r="K328" i="5" s="1"/>
  <c r="F27" i="38"/>
  <c r="F26" i="38" s="1"/>
  <c r="R25" i="23" s="1"/>
  <c r="K26" i="23" s="1"/>
  <c r="P28" i="23"/>
  <c r="C28" i="23"/>
  <c r="O28" i="23"/>
  <c r="G28" i="23"/>
  <c r="F28" i="23"/>
  <c r="J28" i="23"/>
  <c r="E28" i="23"/>
  <c r="Q28" i="23"/>
  <c r="K28" i="23"/>
  <c r="N28" i="23"/>
  <c r="D28" i="23"/>
  <c r="K18" i="5"/>
  <c r="J68" i="23"/>
  <c r="Q68" i="23"/>
  <c r="M68" i="23"/>
  <c r="K68" i="23"/>
  <c r="H68" i="23"/>
  <c r="P68" i="23"/>
  <c r="N68" i="23"/>
  <c r="D68" i="23"/>
  <c r="L68" i="23"/>
  <c r="F68" i="23"/>
  <c r="I68" i="23"/>
  <c r="G68" i="23"/>
  <c r="C68" i="23"/>
  <c r="O68" i="23"/>
  <c r="E68" i="23"/>
  <c r="F53" i="38"/>
  <c r="K275" i="5"/>
  <c r="K526" i="5"/>
  <c r="F82" i="38"/>
  <c r="P35" i="23"/>
  <c r="H35" i="23"/>
  <c r="G35" i="23"/>
  <c r="C35" i="23"/>
  <c r="N35" i="23"/>
  <c r="F35" i="23"/>
  <c r="K35" i="23"/>
  <c r="I35" i="23"/>
  <c r="D35" i="23"/>
  <c r="Q35" i="23"/>
  <c r="L35" i="23"/>
  <c r="M35" i="23"/>
  <c r="E35" i="23"/>
  <c r="O35" i="23"/>
  <c r="J35" i="23"/>
  <c r="C46" i="23"/>
  <c r="O46" i="23"/>
  <c r="H46" i="23"/>
  <c r="D46" i="23"/>
  <c r="K46" i="23"/>
  <c r="J46" i="23"/>
  <c r="F46" i="23"/>
  <c r="E46" i="23"/>
  <c r="G46" i="23"/>
  <c r="P46" i="23"/>
  <c r="I46" i="23"/>
  <c r="N46" i="23"/>
  <c r="Q46" i="23"/>
  <c r="N66" i="23"/>
  <c r="E66" i="23"/>
  <c r="C66" i="23"/>
  <c r="L66" i="23"/>
  <c r="H66" i="23"/>
  <c r="M66" i="23"/>
  <c r="G66" i="23"/>
  <c r="O66" i="23"/>
  <c r="K66" i="23"/>
  <c r="P66" i="23"/>
  <c r="J66" i="23"/>
  <c r="D66" i="23"/>
  <c r="F66" i="23"/>
  <c r="Q66" i="23"/>
  <c r="I66" i="23"/>
  <c r="F19" i="38"/>
  <c r="F73" i="38" l="1"/>
  <c r="R49" i="23" s="1"/>
  <c r="K50" i="23" s="1"/>
  <c r="K293" i="5"/>
  <c r="K412" i="5"/>
  <c r="P26" i="23"/>
  <c r="F26" i="23"/>
  <c r="G26" i="23"/>
  <c r="J26" i="23"/>
  <c r="Q26" i="23"/>
  <c r="O26" i="23"/>
  <c r="E26" i="23"/>
  <c r="N26" i="23"/>
  <c r="D26" i="23"/>
  <c r="C26" i="23"/>
  <c r="F69" i="38"/>
  <c r="F68" i="38" s="1"/>
  <c r="R47" i="23" s="1"/>
  <c r="E48" i="23" s="1"/>
  <c r="R43" i="23"/>
  <c r="F52" i="38"/>
  <c r="R38" i="23" s="1"/>
  <c r="P31" i="23"/>
  <c r="E31" i="23"/>
  <c r="I31" i="23"/>
  <c r="M31" i="23"/>
  <c r="K31" i="23"/>
  <c r="J31" i="23"/>
  <c r="L31" i="23"/>
  <c r="G31" i="23"/>
  <c r="F31" i="23"/>
  <c r="H31" i="23"/>
  <c r="C31" i="23"/>
  <c r="N31" i="23"/>
  <c r="D31" i="23"/>
  <c r="Q31" i="23"/>
  <c r="O31" i="23"/>
  <c r="F81" i="38"/>
  <c r="R51" i="23" s="1"/>
  <c r="R21" i="23"/>
  <c r="F18" i="38"/>
  <c r="J50" i="23" l="1"/>
  <c r="O50" i="23"/>
  <c r="C50" i="23"/>
  <c r="F50" i="23"/>
  <c r="I50" i="23"/>
  <c r="D50" i="23"/>
  <c r="N50" i="23"/>
  <c r="G50" i="23"/>
  <c r="E50" i="23"/>
  <c r="H50" i="23"/>
  <c r="P50" i="23"/>
  <c r="Q50" i="23"/>
  <c r="K282" i="5"/>
  <c r="O48" i="23"/>
  <c r="I48" i="23"/>
  <c r="G48" i="23"/>
  <c r="D48" i="23"/>
  <c r="N48" i="23"/>
  <c r="H48" i="23"/>
  <c r="C48" i="23"/>
  <c r="P48" i="23"/>
  <c r="K48" i="23"/>
  <c r="M48" i="23"/>
  <c r="Q48" i="23"/>
  <c r="L48" i="23"/>
  <c r="F48" i="23"/>
  <c r="J48" i="23"/>
  <c r="Q39" i="23"/>
  <c r="L39" i="23"/>
  <c r="N39" i="23"/>
  <c r="O39" i="23"/>
  <c r="M39" i="23"/>
  <c r="E39" i="23"/>
  <c r="J39" i="23"/>
  <c r="F39" i="23"/>
  <c r="I39" i="23"/>
  <c r="G39" i="23"/>
  <c r="D39" i="23"/>
  <c r="P39" i="23"/>
  <c r="H39" i="23"/>
  <c r="K39" i="23"/>
  <c r="C39" i="23"/>
  <c r="G22" i="23"/>
  <c r="G20" i="23" s="1"/>
  <c r="D22" i="23"/>
  <c r="D20" i="23" s="1"/>
  <c r="Q22" i="23"/>
  <c r="Q20" i="23" s="1"/>
  <c r="F22" i="23"/>
  <c r="F20" i="23" s="1"/>
  <c r="J22" i="23"/>
  <c r="J20" i="23" s="1"/>
  <c r="N22" i="23"/>
  <c r="N20" i="23" s="1"/>
  <c r="O22" i="23"/>
  <c r="O20" i="23" s="1"/>
  <c r="R20" i="23"/>
  <c r="P22" i="23"/>
  <c r="P20" i="23" s="1"/>
  <c r="C22" i="23"/>
  <c r="C20" i="23" s="1"/>
  <c r="K22" i="23"/>
  <c r="K20" i="23" s="1"/>
  <c r="E22" i="23"/>
  <c r="E20" i="23" s="1"/>
  <c r="F56" i="38"/>
  <c r="Q44" i="23"/>
  <c r="D44" i="23"/>
  <c r="P44" i="23"/>
  <c r="J44" i="23"/>
  <c r="G44" i="23"/>
  <c r="C44" i="23"/>
  <c r="K44" i="23"/>
  <c r="R40" i="23"/>
  <c r="O44" i="23"/>
  <c r="E44" i="23"/>
  <c r="F44" i="23"/>
  <c r="N44" i="23"/>
  <c r="I52" i="23"/>
  <c r="C52" i="23"/>
  <c r="M52" i="23"/>
  <c r="D52" i="23"/>
  <c r="J52" i="23"/>
  <c r="N52" i="23"/>
  <c r="K52" i="23"/>
  <c r="O52" i="23"/>
  <c r="E52" i="23"/>
  <c r="P52" i="23"/>
  <c r="F52" i="23"/>
  <c r="Q52" i="23"/>
  <c r="G52" i="23"/>
  <c r="L52" i="23"/>
  <c r="H52" i="23"/>
  <c r="M40" i="23" l="1"/>
  <c r="I40" i="23"/>
  <c r="L40" i="23"/>
  <c r="H40" i="23"/>
  <c r="K40" i="23"/>
  <c r="C40" i="23"/>
  <c r="N40" i="23"/>
  <c r="J40" i="23"/>
  <c r="F40" i="23"/>
  <c r="G40" i="23"/>
  <c r="P40" i="23"/>
  <c r="E40" i="23"/>
  <c r="D40" i="23"/>
  <c r="Q40" i="23"/>
  <c r="O40" i="23"/>
  <c r="G789" i="33"/>
  <c r="G804" i="33"/>
  <c r="F777" i="33" s="1"/>
  <c r="G172" i="5" s="1"/>
  <c r="G820" i="33"/>
  <c r="G835" i="33" s="1"/>
  <c r="F808" i="33" s="1"/>
  <c r="G173" i="5" s="1"/>
  <c r="G1444" i="33"/>
  <c r="G1458" i="33" s="1"/>
  <c r="F1430" i="33" s="1"/>
  <c r="G190" i="5" s="1"/>
  <c r="G1283" i="33"/>
  <c r="G1297" i="33" s="1"/>
  <c r="F1269" i="33" s="1"/>
  <c r="G185" i="5" s="1"/>
  <c r="J185" i="5" l="1"/>
  <c r="K185" i="5" s="1"/>
  <c r="H185" i="5"/>
  <c r="J190" i="5"/>
  <c r="K190" i="5" s="1"/>
  <c r="H190" i="5"/>
  <c r="J172" i="5"/>
  <c r="K172" i="5" s="1"/>
  <c r="H172" i="5"/>
  <c r="H173" i="5"/>
  <c r="J173" i="5"/>
  <c r="K173" i="5" s="1"/>
  <c r="K170" i="5" l="1"/>
  <c r="F50" i="38" l="1"/>
  <c r="K143" i="5"/>
  <c r="K69" i="5" s="1"/>
  <c r="K734" i="5" s="1"/>
  <c r="L648" i="5" l="1"/>
  <c r="L546" i="5"/>
  <c r="L645" i="5"/>
  <c r="L557" i="5"/>
  <c r="L507" i="5"/>
  <c r="L559" i="5"/>
  <c r="L194" i="5"/>
  <c r="L505" i="5"/>
  <c r="L620" i="5"/>
  <c r="L355" i="5"/>
  <c r="L467" i="5"/>
  <c r="L459" i="5"/>
  <c r="L351" i="5"/>
  <c r="L524" i="5"/>
  <c r="L561" i="5"/>
  <c r="L554" i="5"/>
  <c r="L223" i="5"/>
  <c r="L475" i="5"/>
  <c r="L608" i="5"/>
  <c r="L518" i="5"/>
  <c r="L441" i="5"/>
  <c r="L674" i="5"/>
  <c r="L233" i="5"/>
  <c r="L24" i="5"/>
  <c r="L285" i="5"/>
  <c r="L662" i="5"/>
  <c r="L403" i="5"/>
  <c r="L277" i="5"/>
  <c r="L111" i="5"/>
  <c r="L624" i="5"/>
  <c r="L721" i="5"/>
  <c r="L602" i="5"/>
  <c r="L627" i="5"/>
  <c r="L125" i="5"/>
  <c r="L374" i="5"/>
  <c r="L668" i="5"/>
  <c r="L210" i="5"/>
  <c r="L51" i="5"/>
  <c r="L250" i="5"/>
  <c r="L680" i="5"/>
  <c r="L679" i="5" s="1"/>
  <c r="L334" i="5"/>
  <c r="L52" i="5"/>
  <c r="L384" i="5"/>
  <c r="L122" i="5"/>
  <c r="L711" i="5"/>
  <c r="L701" i="5"/>
  <c r="L713" i="5"/>
  <c r="L629" i="5"/>
  <c r="L259" i="5"/>
  <c r="L197" i="5"/>
  <c r="L599" i="5"/>
  <c r="L119" i="5"/>
  <c r="L644" i="5"/>
  <c r="L502" i="5"/>
  <c r="L534" i="5"/>
  <c r="L485" i="5"/>
  <c r="L434" i="5"/>
  <c r="L531" i="5"/>
  <c r="L530" i="5" s="1"/>
  <c r="L445" i="5"/>
  <c r="L430" i="5"/>
  <c r="L619" i="5"/>
  <c r="L258" i="5"/>
  <c r="L393" i="5"/>
  <c r="L594" i="5"/>
  <c r="L410" i="5"/>
  <c r="L723" i="5"/>
  <c r="L300" i="5"/>
  <c r="L230" i="5"/>
  <c r="L140" i="5"/>
  <c r="L585" i="5"/>
  <c r="L705" i="5"/>
  <c r="L149" i="5"/>
  <c r="L718" i="5"/>
  <c r="L343" i="5"/>
  <c r="L553" i="5"/>
  <c r="L503" i="5"/>
  <c r="L513" i="5"/>
  <c r="L178" i="5"/>
  <c r="L96" i="5"/>
  <c r="L235" i="5"/>
  <c r="L134" i="5"/>
  <c r="L556" i="5"/>
  <c r="L372" i="5"/>
  <c r="L256" i="5"/>
  <c r="L113" i="5"/>
  <c r="L339" i="5"/>
  <c r="L191" i="5"/>
  <c r="L262" i="5"/>
  <c r="L496" i="5"/>
  <c r="L576" i="5"/>
  <c r="L186" i="5"/>
  <c r="L653" i="5"/>
  <c r="L175" i="5"/>
  <c r="L84" i="5"/>
  <c r="L99" i="5"/>
  <c r="L465" i="5"/>
  <c r="L383" i="5"/>
  <c r="L613" i="5"/>
  <c r="L461" i="5"/>
  <c r="L73" i="5"/>
  <c r="L221" i="5"/>
  <c r="L38" i="5"/>
  <c r="L76" i="5"/>
  <c r="K737" i="5"/>
  <c r="L382" i="5"/>
  <c r="L379" i="5"/>
  <c r="L160" i="5"/>
  <c r="L159" i="5"/>
  <c r="L543" i="5"/>
  <c r="L127" i="5"/>
  <c r="L317" i="5"/>
  <c r="L730" i="5"/>
  <c r="L31" i="5"/>
  <c r="L617" i="5"/>
  <c r="L536" i="5"/>
  <c r="L657" i="5"/>
  <c r="L352" i="5"/>
  <c r="L242" i="5"/>
  <c r="L153" i="5"/>
  <c r="L236" i="5"/>
  <c r="L522" i="5"/>
  <c r="L628" i="5"/>
  <c r="L251" i="5"/>
  <c r="L268" i="5"/>
  <c r="L338" i="5"/>
  <c r="L168" i="5"/>
  <c r="L558" i="5"/>
  <c r="L511" i="5"/>
  <c r="L333" i="5"/>
  <c r="L261" i="5"/>
  <c r="L224" i="5"/>
  <c r="L93" i="5"/>
  <c r="L508" i="5"/>
  <c r="L332" i="5"/>
  <c r="L291" i="5"/>
  <c r="L290" i="5" s="1"/>
  <c r="L102" i="5"/>
  <c r="L560" i="5"/>
  <c r="L363" i="5"/>
  <c r="L404" i="5"/>
  <c r="L301" i="5"/>
  <c r="L520" i="5"/>
  <c r="L79" i="5"/>
  <c r="L278" i="5"/>
  <c r="L693" i="5"/>
  <c r="L563" i="5"/>
  <c r="L510" i="5"/>
  <c r="L176" i="5"/>
  <c r="L622" i="5"/>
  <c r="L74" i="5"/>
  <c r="L270" i="5"/>
  <c r="L187" i="5"/>
  <c r="L137" i="5"/>
  <c r="L252" i="5"/>
  <c r="L687" i="5"/>
  <c r="L321" i="5"/>
  <c r="L95" i="5"/>
  <c r="L264" i="5"/>
  <c r="L632" i="5"/>
  <c r="L498" i="5"/>
  <c r="L497" i="5" s="1"/>
  <c r="L521" i="5"/>
  <c r="L552" i="5"/>
  <c r="L618" i="5"/>
  <c r="L212" i="5"/>
  <c r="L442" i="5"/>
  <c r="L598" i="5"/>
  <c r="L686" i="5"/>
  <c r="L98" i="5"/>
  <c r="L504" i="5"/>
  <c r="L63" i="5"/>
  <c r="L415" i="5"/>
  <c r="L682" i="5"/>
  <c r="L700" i="5"/>
  <c r="L631" i="5"/>
  <c r="L587" i="5"/>
  <c r="L267" i="5"/>
  <c r="L315" i="5"/>
  <c r="L166" i="5"/>
  <c r="L316" i="5"/>
  <c r="L696" i="5"/>
  <c r="L314" i="5"/>
  <c r="L318" i="5"/>
  <c r="L322" i="5"/>
  <c r="L490" i="5"/>
  <c r="L551" i="5"/>
  <c r="L126" i="5"/>
  <c r="L23" i="5"/>
  <c r="L340" i="5"/>
  <c r="L447" i="5"/>
  <c r="L651" i="5"/>
  <c r="L43" i="5"/>
  <c r="L575" i="5"/>
  <c r="L655" i="5"/>
  <c r="L347" i="5"/>
  <c r="L650" i="5"/>
  <c r="L146" i="5"/>
  <c r="L528" i="5"/>
  <c r="L581" i="5"/>
  <c r="L676" i="5"/>
  <c r="L331" i="5"/>
  <c r="L248" i="5"/>
  <c r="L47" i="5"/>
  <c r="L365" i="5"/>
  <c r="L515" i="5"/>
  <c r="L302" i="5"/>
  <c r="L568" i="5"/>
  <c r="L603" i="5"/>
  <c r="L265" i="5"/>
  <c r="L196" i="5"/>
  <c r="L94" i="5"/>
  <c r="L672" i="5"/>
  <c r="L204" i="5"/>
  <c r="L429" i="5"/>
  <c r="L139" i="5"/>
  <c r="L114" i="5"/>
  <c r="L572" i="5"/>
  <c r="L529" i="5"/>
  <c r="L523" i="5"/>
  <c r="L565" i="5"/>
  <c r="L228" i="5"/>
  <c r="L639" i="5"/>
  <c r="L296" i="5"/>
  <c r="L27" i="5"/>
  <c r="L26" i="5" s="1"/>
  <c r="L495" i="5"/>
  <c r="L386" i="5"/>
  <c r="L564" i="5"/>
  <c r="L539" i="5"/>
  <c r="L104" i="5"/>
  <c r="L307" i="5"/>
  <c r="L387" i="5"/>
  <c r="L206" i="5"/>
  <c r="L260" i="5"/>
  <c r="L689" i="5"/>
  <c r="L136" i="5"/>
  <c r="L494" i="5"/>
  <c r="L663" i="5"/>
  <c r="L481" i="5"/>
  <c r="L419" i="5"/>
  <c r="L654" i="5"/>
  <c r="L573" i="5"/>
  <c r="L55" i="5"/>
  <c r="L571" i="5"/>
  <c r="L129" i="5"/>
  <c r="L253" i="5"/>
  <c r="L141" i="5"/>
  <c r="L237" i="5"/>
  <c r="L636" i="5"/>
  <c r="L590" i="5"/>
  <c r="L688" i="5"/>
  <c r="L389" i="5"/>
  <c r="L512" i="5"/>
  <c r="L167" i="5"/>
  <c r="L471" i="5"/>
  <c r="L710" i="5"/>
  <c r="L89" i="5"/>
  <c r="L295" i="5"/>
  <c r="L717" i="5"/>
  <c r="L36" i="5"/>
  <c r="L313" i="5"/>
  <c r="L120" i="5"/>
  <c r="L367" i="5"/>
  <c r="L658" i="5"/>
  <c r="L426" i="5"/>
  <c r="L244" i="5"/>
  <c r="L671" i="5"/>
  <c r="L567" i="5"/>
  <c r="L199" i="5"/>
  <c r="L346" i="5"/>
  <c r="L509" i="5"/>
  <c r="L640" i="5"/>
  <c r="L257" i="5"/>
  <c r="L719" i="5"/>
  <c r="L566" i="5"/>
  <c r="L72" i="5"/>
  <c r="L78" i="5"/>
  <c r="L156" i="5"/>
  <c r="L477" i="5"/>
  <c r="L335" i="5"/>
  <c r="L391" i="5"/>
  <c r="L673" i="5"/>
  <c r="L288" i="5"/>
  <c r="L376" i="5"/>
  <c r="L174" i="5"/>
  <c r="L46" i="5"/>
  <c r="L326" i="5"/>
  <c r="L664" i="5"/>
  <c r="L309" i="5"/>
  <c r="L690" i="5"/>
  <c r="L396" i="5"/>
  <c r="L319" i="5"/>
  <c r="L75" i="5"/>
  <c r="L22" i="5"/>
  <c r="L424" i="5"/>
  <c r="L642" i="5"/>
  <c r="L665" i="5"/>
  <c r="L699" i="5"/>
  <c r="L188" i="5"/>
  <c r="L101" i="5"/>
  <c r="L219" i="5"/>
  <c r="L406" i="5"/>
  <c r="L463" i="5"/>
  <c r="L600" i="5"/>
  <c r="L60" i="5"/>
  <c r="L324" i="5"/>
  <c r="L280" i="5"/>
  <c r="L279" i="5" s="1"/>
  <c r="L202" i="5"/>
  <c r="L435" i="5"/>
  <c r="L649" i="5"/>
  <c r="L205" i="5"/>
  <c r="L641" i="5"/>
  <c r="L589" i="5"/>
  <c r="L588" i="5"/>
  <c r="L549" i="5"/>
  <c r="L112" i="5"/>
  <c r="L131" i="5"/>
  <c r="L398" i="5"/>
  <c r="L388" i="5"/>
  <c r="L562" i="5"/>
  <c r="L489" i="5"/>
  <c r="L163" i="5"/>
  <c r="L287" i="5"/>
  <c r="L455" i="5"/>
  <c r="L298" i="5"/>
  <c r="L607" i="5"/>
  <c r="L484" i="5"/>
  <c r="L704" i="5"/>
  <c r="L213" i="5"/>
  <c r="L231" i="5"/>
  <c r="L303" i="5"/>
  <c r="L348" i="5"/>
  <c r="L368" i="5"/>
  <c r="L548" i="5"/>
  <c r="L304" i="5"/>
  <c r="L130" i="5"/>
  <c r="L25" i="5"/>
  <c r="L583" i="5"/>
  <c r="L342" i="5"/>
  <c r="L712" i="5"/>
  <c r="L39" i="5"/>
  <c r="L349" i="5"/>
  <c r="L61" i="5"/>
  <c r="L408" i="5"/>
  <c r="L215" i="5"/>
  <c r="L586" i="5"/>
  <c r="L192" i="5"/>
  <c r="L709" i="5"/>
  <c r="L44" i="5"/>
  <c r="L195" i="5"/>
  <c r="L578" i="5"/>
  <c r="L611" i="5"/>
  <c r="L448" i="5"/>
  <c r="L92" i="5"/>
  <c r="L247" i="5"/>
  <c r="L656" i="5"/>
  <c r="L612" i="5"/>
  <c r="L519" i="5"/>
  <c r="L80" i="5"/>
  <c r="L357" i="5"/>
  <c r="L550" i="5"/>
  <c r="L177" i="5"/>
  <c r="L407" i="5"/>
  <c r="L325" i="5"/>
  <c r="L234" i="5"/>
  <c r="L157" i="5"/>
  <c r="L184" i="5"/>
  <c r="L105" i="5"/>
  <c r="L646" i="5"/>
  <c r="L179" i="5"/>
  <c r="L540" i="5"/>
  <c r="L370" i="5"/>
  <c r="L514" i="5"/>
  <c r="L432" i="5"/>
  <c r="L90" i="5"/>
  <c r="L323" i="5"/>
  <c r="L245" i="5"/>
  <c r="L401" i="5"/>
  <c r="L450" i="5"/>
  <c r="L208" i="5"/>
  <c r="L201" i="5"/>
  <c r="L677" i="5"/>
  <c r="L400" i="5"/>
  <c r="L100" i="5"/>
  <c r="L669" i="5"/>
  <c r="L491" i="5"/>
  <c r="L308" i="5"/>
  <c r="L133" i="5"/>
  <c r="L345" i="5"/>
  <c r="L229" i="5"/>
  <c r="L49" i="5"/>
  <c r="L62" i="5"/>
  <c r="L615" i="5"/>
  <c r="L218" i="5"/>
  <c r="L577" i="5"/>
  <c r="L135" i="5"/>
  <c r="L433" i="5"/>
  <c r="L337" i="5"/>
  <c r="L698" i="5"/>
  <c r="L538" i="5"/>
  <c r="L21" i="5"/>
  <c r="L83" i="5"/>
  <c r="L369" i="5"/>
  <c r="L59" i="5"/>
  <c r="L574" i="5"/>
  <c r="L634" i="5"/>
  <c r="L225" i="5"/>
  <c r="L183" i="5"/>
  <c r="L200" i="5"/>
  <c r="L452" i="5"/>
  <c r="L630" i="5"/>
  <c r="L254" i="5"/>
  <c r="L361" i="5"/>
  <c r="L50" i="5"/>
  <c r="L360" i="5"/>
  <c r="L614" i="5"/>
  <c r="L506" i="5"/>
  <c r="L91" i="5"/>
  <c r="L425" i="5"/>
  <c r="L211" i="5"/>
  <c r="L353" i="5"/>
  <c r="L299" i="5"/>
  <c r="L446" i="5"/>
  <c r="L336" i="5"/>
  <c r="L238" i="5"/>
  <c r="L107" i="5"/>
  <c r="L106" i="5" s="1"/>
  <c r="L722" i="5"/>
  <c r="L516" i="5"/>
  <c r="L103" i="5"/>
  <c r="L243" i="5"/>
  <c r="L240" i="5"/>
  <c r="L209" i="5"/>
  <c r="L409" i="5"/>
  <c r="L58" i="5"/>
  <c r="L41" i="5"/>
  <c r="L635" i="5"/>
  <c r="L158" i="5"/>
  <c r="L198" i="5"/>
  <c r="L42" i="5"/>
  <c r="L164" i="5"/>
  <c r="L362" i="5"/>
  <c r="L53" i="5"/>
  <c r="L678" i="5"/>
  <c r="L394" i="5"/>
  <c r="L694" i="5"/>
  <c r="L306" i="5"/>
  <c r="L610" i="5"/>
  <c r="L249" i="5"/>
  <c r="L591" i="5"/>
  <c r="L377" i="5"/>
  <c r="L222" i="5"/>
  <c r="L138" i="5"/>
  <c r="L330" i="5"/>
  <c r="L85" i="5"/>
  <c r="L266" i="5"/>
  <c r="L40" i="5"/>
  <c r="L354" i="5"/>
  <c r="L241" i="5"/>
  <c r="L124" i="5"/>
  <c r="L695" i="5"/>
  <c r="L216" i="5"/>
  <c r="L582" i="5"/>
  <c r="L86" i="5"/>
  <c r="L437" i="5"/>
  <c r="L366" i="5"/>
  <c r="L115" i="5"/>
  <c r="L731" i="5"/>
  <c r="L727" i="5"/>
  <c r="L726" i="5" s="1"/>
  <c r="L417" i="5"/>
  <c r="L97" i="5"/>
  <c r="L169" i="5"/>
  <c r="L373" i="5"/>
  <c r="L273" i="5"/>
  <c r="L45" i="5"/>
  <c r="L271" i="5"/>
  <c r="L399" i="5"/>
  <c r="L320" i="5"/>
  <c r="L395" i="5"/>
  <c r="L517" i="5"/>
  <c r="L54" i="5"/>
  <c r="L390" i="5"/>
  <c r="L289" i="5"/>
  <c r="L162" i="5"/>
  <c r="L626" i="5"/>
  <c r="L500" i="5"/>
  <c r="L499" i="5" s="1"/>
  <c r="L637" i="5"/>
  <c r="L380" i="5"/>
  <c r="L666" i="5"/>
  <c r="L214" i="5"/>
  <c r="L715" i="5"/>
  <c r="L714" i="5" s="1"/>
  <c r="L128" i="5"/>
  <c r="L584" i="5"/>
  <c r="L356" i="5"/>
  <c r="L48" i="5"/>
  <c r="L375" i="5"/>
  <c r="L381" i="5"/>
  <c r="L473" i="5"/>
  <c r="L358" i="5"/>
  <c r="L87" i="5"/>
  <c r="L633" i="5"/>
  <c r="L180" i="5"/>
  <c r="L232" i="5"/>
  <c r="L207" i="5"/>
  <c r="L535" i="5"/>
  <c r="L438" i="5"/>
  <c r="L469" i="5"/>
  <c r="L344" i="5"/>
  <c r="L428" i="5"/>
  <c r="L421" i="5"/>
  <c r="L454" i="5"/>
  <c r="L397" i="5"/>
  <c r="L151" i="5"/>
  <c r="L364" i="5"/>
  <c r="L601" i="5"/>
  <c r="L488" i="5"/>
  <c r="L732" i="5"/>
  <c r="L691" i="5"/>
  <c r="L440" i="5"/>
  <c r="L692" i="5"/>
  <c r="L165" i="5"/>
  <c r="L161" i="5"/>
  <c r="L457" i="5"/>
  <c r="L595" i="5"/>
  <c r="L667" i="5"/>
  <c r="L707" i="5"/>
  <c r="L706" i="5" s="1"/>
  <c r="L547" i="5"/>
  <c r="L492" i="5"/>
  <c r="L189" i="5"/>
  <c r="L203" i="5"/>
  <c r="L193" i="5"/>
  <c r="L37" i="5"/>
  <c r="L702" i="5"/>
  <c r="L123" i="5"/>
  <c r="L621" i="5"/>
  <c r="L378" i="5"/>
  <c r="L255" i="5"/>
  <c r="L542" i="5"/>
  <c r="L405" i="5"/>
  <c r="L652" i="5"/>
  <c r="L217" i="5"/>
  <c r="L182" i="5"/>
  <c r="L684" i="5"/>
  <c r="L541" i="5"/>
  <c r="L220" i="5"/>
  <c r="L537" i="5"/>
  <c r="L239" i="5"/>
  <c r="L286" i="5"/>
  <c r="L269" i="5"/>
  <c r="L638" i="5"/>
  <c r="L443" i="5"/>
  <c r="L385" i="5"/>
  <c r="L57" i="5"/>
  <c r="L371" i="5"/>
  <c r="L479" i="5"/>
  <c r="L305" i="5"/>
  <c r="L246" i="5"/>
  <c r="L32" i="5"/>
  <c r="L56" i="5"/>
  <c r="L609" i="5"/>
  <c r="L697" i="5"/>
  <c r="L670" i="5"/>
  <c r="L350" i="5"/>
  <c r="L625" i="5"/>
  <c r="L725" i="5"/>
  <c r="L724" i="5" s="1"/>
  <c r="L341" i="5"/>
  <c r="L683" i="5"/>
  <c r="L359" i="5"/>
  <c r="L555" i="5"/>
  <c r="L227" i="5"/>
  <c r="L67" i="5"/>
  <c r="L66" i="5" s="1"/>
  <c r="L65" i="5" s="1"/>
  <c r="L121" i="5"/>
  <c r="L185" i="5"/>
  <c r="L190" i="5"/>
  <c r="L172" i="5"/>
  <c r="L173" i="5"/>
  <c r="F47" i="38"/>
  <c r="L703" i="5" l="1"/>
  <c r="L483" i="5"/>
  <c r="L294" i="5"/>
  <c r="L729" i="5"/>
  <c r="L71" i="5"/>
  <c r="L144" i="5"/>
  <c r="L716" i="5"/>
  <c r="L297" i="5"/>
  <c r="L329" i="5"/>
  <c r="L580" i="5"/>
  <c r="L616" i="5"/>
  <c r="L606" i="5"/>
  <c r="L88" i="5"/>
  <c r="L527" i="5"/>
  <c r="L526" i="5" s="1"/>
  <c r="L30" i="5"/>
  <c r="L29" i="5" s="1"/>
  <c r="L708" i="5"/>
  <c r="L155" i="5"/>
  <c r="L681" i="5"/>
  <c r="L501" i="5"/>
  <c r="R36" i="23"/>
  <c r="F32" i="38"/>
  <c r="F121" i="38" s="1"/>
  <c r="L77" i="5"/>
  <c r="L413" i="5"/>
  <c r="L643" i="5"/>
  <c r="L720" i="5"/>
  <c r="L593" i="5"/>
  <c r="L118" i="5"/>
  <c r="L623" i="5"/>
  <c r="L533" i="5"/>
  <c r="L392" i="5"/>
  <c r="L110" i="5"/>
  <c r="L109" i="5" s="1"/>
  <c r="L170" i="5"/>
  <c r="L82" i="5"/>
  <c r="L276" i="5"/>
  <c r="L275" i="5" s="1"/>
  <c r="L20" i="5"/>
  <c r="L19" i="5" s="1"/>
  <c r="L685" i="5"/>
  <c r="L402" i="5"/>
  <c r="L570" i="5"/>
  <c r="L132" i="5"/>
  <c r="L312" i="5"/>
  <c r="L311" i="5" s="1"/>
  <c r="L597" i="5"/>
  <c r="L661" i="5"/>
  <c r="L35" i="5"/>
  <c r="L34" i="5" s="1"/>
  <c r="L284" i="5"/>
  <c r="L283" i="5" s="1"/>
  <c r="L545" i="5"/>
  <c r="L486" i="5"/>
  <c r="L675" i="5"/>
  <c r="L647" i="5"/>
  <c r="L293" i="5" l="1"/>
  <c r="L70" i="5"/>
  <c r="L117" i="5"/>
  <c r="L143" i="5"/>
  <c r="L412" i="5"/>
  <c r="L605" i="5"/>
  <c r="L18" i="5"/>
  <c r="G69" i="38"/>
  <c r="G35" i="38"/>
  <c r="G78" i="38"/>
  <c r="G113" i="38"/>
  <c r="G108" i="38"/>
  <c r="G63" i="38"/>
  <c r="G98" i="38"/>
  <c r="G100" i="38"/>
  <c r="G91" i="38"/>
  <c r="G34" i="38"/>
  <c r="G82" i="38"/>
  <c r="G70" i="38"/>
  <c r="G75" i="38"/>
  <c r="G85" i="38"/>
  <c r="G59" i="38"/>
  <c r="G105" i="38"/>
  <c r="G44" i="38"/>
  <c r="G107" i="38"/>
  <c r="G21" i="38"/>
  <c r="G119" i="38"/>
  <c r="G83" i="38"/>
  <c r="G49" i="38"/>
  <c r="G114" i="38"/>
  <c r="G106" i="38"/>
  <c r="G62" i="38"/>
  <c r="G48" i="38"/>
  <c r="G71" i="38"/>
  <c r="G101" i="38"/>
  <c r="G37" i="38"/>
  <c r="G97" i="38"/>
  <c r="G54" i="38"/>
  <c r="G58" i="38"/>
  <c r="G109" i="38"/>
  <c r="G93" i="38"/>
  <c r="G20" i="38"/>
  <c r="G53" i="38"/>
  <c r="G30" i="38"/>
  <c r="G29" i="38" s="1"/>
  <c r="G115" i="38"/>
  <c r="G110" i="38"/>
  <c r="G77" i="38"/>
  <c r="G99" i="38"/>
  <c r="G117" i="38"/>
  <c r="G87" i="38"/>
  <c r="G102" i="38"/>
  <c r="G45" i="38"/>
  <c r="G74" i="38"/>
  <c r="G66" i="38"/>
  <c r="G65" i="38" s="1"/>
  <c r="G79" i="38"/>
  <c r="G36" i="38"/>
  <c r="G95" i="38"/>
  <c r="G112" i="38"/>
  <c r="G24" i="38"/>
  <c r="G23" i="38" s="1"/>
  <c r="G111" i="38"/>
  <c r="G38" i="38"/>
  <c r="G89" i="38"/>
  <c r="G27" i="38"/>
  <c r="G26" i="38" s="1"/>
  <c r="G104" i="38"/>
  <c r="G41" i="38"/>
  <c r="G40" i="38" s="1"/>
  <c r="G76" i="38"/>
  <c r="G116" i="38"/>
  <c r="G50" i="38"/>
  <c r="K37" i="23"/>
  <c r="K29" i="23" s="1"/>
  <c r="K74" i="23" s="1"/>
  <c r="F37" i="23"/>
  <c r="F29" i="23" s="1"/>
  <c r="F74" i="23" s="1"/>
  <c r="Q37" i="23"/>
  <c r="Q29" i="23" s="1"/>
  <c r="Q74" i="23" s="1"/>
  <c r="P37" i="23"/>
  <c r="P29" i="23" s="1"/>
  <c r="P74" i="23" s="1"/>
  <c r="D37" i="23"/>
  <c r="D29" i="23" s="1"/>
  <c r="D74" i="23" s="1"/>
  <c r="E37" i="23"/>
  <c r="E29" i="23" s="1"/>
  <c r="E74" i="23" s="1"/>
  <c r="R29" i="23"/>
  <c r="R74" i="23" s="1"/>
  <c r="L37" i="23"/>
  <c r="L29" i="23" s="1"/>
  <c r="L74" i="23" s="1"/>
  <c r="I37" i="23"/>
  <c r="I29" i="23" s="1"/>
  <c r="I74" i="23" s="1"/>
  <c r="C37" i="23"/>
  <c r="C29" i="23" s="1"/>
  <c r="C74" i="23" s="1"/>
  <c r="J37" i="23"/>
  <c r="J29" i="23" s="1"/>
  <c r="J74" i="23" s="1"/>
  <c r="M37" i="23"/>
  <c r="M29" i="23" s="1"/>
  <c r="M74" i="23" s="1"/>
  <c r="H37" i="23"/>
  <c r="H29" i="23" s="1"/>
  <c r="H74" i="23" s="1"/>
  <c r="O37" i="23"/>
  <c r="O29" i="23" s="1"/>
  <c r="O74" i="23" s="1"/>
  <c r="G37" i="23"/>
  <c r="G29" i="23" s="1"/>
  <c r="G74" i="23" s="1"/>
  <c r="N37" i="23"/>
  <c r="N29" i="23" s="1"/>
  <c r="N74" i="23" s="1"/>
  <c r="L328" i="5"/>
  <c r="L660" i="5"/>
  <c r="L69" i="5" l="1"/>
  <c r="G57" i="38"/>
  <c r="L282" i="5"/>
  <c r="G33" i="38"/>
  <c r="G73" i="38"/>
  <c r="E75" i="23"/>
  <c r="H75" i="23"/>
  <c r="D75" i="23"/>
  <c r="Q75" i="23"/>
  <c r="P75" i="23"/>
  <c r="G43" i="38"/>
  <c r="J75" i="23"/>
  <c r="G47" i="38"/>
  <c r="F75" i="23"/>
  <c r="G61" i="38"/>
  <c r="G68" i="38"/>
  <c r="N75" i="23"/>
  <c r="G75" i="23"/>
  <c r="K75" i="23"/>
  <c r="C75" i="23"/>
  <c r="G52" i="38"/>
  <c r="O75" i="23"/>
  <c r="M75" i="23"/>
  <c r="I75" i="23"/>
  <c r="L75" i="23"/>
  <c r="G19" i="38"/>
  <c r="G18" i="38" s="1"/>
  <c r="G81" i="38"/>
  <c r="L734" i="5" l="1"/>
  <c r="G32" i="38"/>
  <c r="G56" i="38"/>
  <c r="R75" i="23"/>
  <c r="T75" i="23" s="1"/>
  <c r="G121" i="38" l="1"/>
</calcChain>
</file>

<file path=xl/sharedStrings.xml><?xml version="1.0" encoding="utf-8"?>
<sst xmlns="http://schemas.openxmlformats.org/spreadsheetml/2006/main" count="22702" uniqueCount="3076">
  <si>
    <t>CONTRATANTE:</t>
  </si>
  <si>
    <t>CÂMARA MUNICIPAL DE BELO HORIZONTE</t>
  </si>
  <si>
    <t>SINAPI</t>
  </si>
  <si>
    <t>SETOP</t>
  </si>
  <si>
    <t>SUDECAP</t>
  </si>
  <si>
    <t>PROJETO:</t>
  </si>
  <si>
    <t>ADEQUAÇÃO DA SUBESTAÇÃO DA CÂMARA MUNICIPAL BH | REFORMA DAS INSTALAÇÕES ELÉTRICAS E DE AR CONDICIONADO DO PRÉDIO ANEXO</t>
  </si>
  <si>
    <t>03/2024</t>
  </si>
  <si>
    <t>01/24</t>
  </si>
  <si>
    <t>ENDEREÇO:</t>
  </si>
  <si>
    <t>AV. DOS ANDRADAS Nº 3100, BAIRRO SANTA EFIGÊNIA - BELO HORIZONTE/ MG</t>
  </si>
  <si>
    <t>BDI</t>
  </si>
  <si>
    <t>Padrão</t>
  </si>
  <si>
    <t>Diferenciado</t>
  </si>
  <si>
    <t>ETAPA:</t>
  </si>
  <si>
    <t>ORÇAMENTO</t>
  </si>
  <si>
    <t>PLANILHA RESUMO</t>
  </si>
  <si>
    <t>ÍNDICE DE VERSÕES</t>
  </si>
  <si>
    <t>VERSÃO</t>
  </si>
  <si>
    <t xml:space="preserve">DESCRIÇÃO E/OU FOLHAS ALTERADAS </t>
  </si>
  <si>
    <t>DATA</t>
  </si>
  <si>
    <t>ATUALIZAÇÃO</t>
  </si>
  <si>
    <t>R1</t>
  </si>
  <si>
    <t>Atendendo à Comentários</t>
  </si>
  <si>
    <t>Grazielle Cruz/ Marcelo F. Pereira</t>
  </si>
  <si>
    <t>R8</t>
  </si>
  <si>
    <t>R9</t>
  </si>
  <si>
    <t>ITEM</t>
  </si>
  <si>
    <t>DESCRIÇÃO DOS SERVIÇOS</t>
  </si>
  <si>
    <t>PREÇO (COM BDI - R$)</t>
  </si>
  <si>
    <t>% ITEM</t>
  </si>
  <si>
    <t>GERAL</t>
  </si>
  <si>
    <t>1.1</t>
  </si>
  <si>
    <t>INSTALAÇÃO DE OBRA</t>
  </si>
  <si>
    <t/>
  </si>
  <si>
    <t>1.1.1</t>
  </si>
  <si>
    <t>Administração de Obra - Pessoal</t>
  </si>
  <si>
    <t>1.1.2</t>
  </si>
  <si>
    <t>Instalações Provisórias</t>
  </si>
  <si>
    <t>1.2</t>
  </si>
  <si>
    <t>SERVIÇOS PRELIMINARES</t>
  </si>
  <si>
    <t>1.2.1</t>
  </si>
  <si>
    <t>Resíduo de Obra - Limpeza Permanente</t>
  </si>
  <si>
    <t>1.3</t>
  </si>
  <si>
    <t>INSTALAÇÕES ELÉTRICAS E SPDA</t>
  </si>
  <si>
    <t>1.3.1</t>
  </si>
  <si>
    <t>Aterramento</t>
  </si>
  <si>
    <t>1.4</t>
  </si>
  <si>
    <t>COMPLEMENTAÇÃO DA OBRA</t>
  </si>
  <si>
    <t>1.4.1</t>
  </si>
  <si>
    <t>Projeto As Built</t>
  </si>
  <si>
    <t>CAG</t>
  </si>
  <si>
    <t>2.1</t>
  </si>
  <si>
    <t>SERVIÇOS PRELIMINARES - CAG</t>
  </si>
  <si>
    <t>2.1.1</t>
  </si>
  <si>
    <t>Demolições e Remoções</t>
  </si>
  <si>
    <t>2.1.2</t>
  </si>
  <si>
    <t>Movimentação de Terra</t>
  </si>
  <si>
    <t>2.1.3</t>
  </si>
  <si>
    <t>2.1.4</t>
  </si>
  <si>
    <t>2.1.5</t>
  </si>
  <si>
    <t>Resíduo de Obra</t>
  </si>
  <si>
    <t>2.2</t>
  </si>
  <si>
    <t>OBRA CIVIL - CAG</t>
  </si>
  <si>
    <t>2.2.1</t>
  </si>
  <si>
    <t>Bases e Canaletas</t>
  </si>
  <si>
    <t>2.3</t>
  </si>
  <si>
    <t>2.3.1</t>
  </si>
  <si>
    <t>Instalações Elétricas</t>
  </si>
  <si>
    <t>2.3.2</t>
  </si>
  <si>
    <t>Instalações de Lógica</t>
  </si>
  <si>
    <t>2.4</t>
  </si>
  <si>
    <t>CLIMATIZAÇÃO - CAG</t>
  </si>
  <si>
    <t>2.4.1</t>
  </si>
  <si>
    <t>Acessórios para Captação e Insuflamento de Ar</t>
  </si>
  <si>
    <t>2.4.2</t>
  </si>
  <si>
    <t>Transmissores de pressão Ar e Água, Purgadores de Ar, Chave de Fluxo e Manômetros</t>
  </si>
  <si>
    <t>2.4.3</t>
  </si>
  <si>
    <t>Tubulação Hidráulica</t>
  </si>
  <si>
    <t>2.5</t>
  </si>
  <si>
    <t>2.5.1</t>
  </si>
  <si>
    <t>2.5.2</t>
  </si>
  <si>
    <t>Limpeza Final de Obra</t>
  </si>
  <si>
    <t>3º PAVIMENTO - ALA B</t>
  </si>
  <si>
    <t>3.1</t>
  </si>
  <si>
    <t>SERVIÇOS PRELIMINARES - 3º PAV - ALA B</t>
  </si>
  <si>
    <t>3.1.1</t>
  </si>
  <si>
    <t>3.1.2</t>
  </si>
  <si>
    <t>3.2</t>
  </si>
  <si>
    <t>OBRA CIVIL - 3º PAV - ALA B</t>
  </si>
  <si>
    <t>3.2.1</t>
  </si>
  <si>
    <t>3.2.2</t>
  </si>
  <si>
    <t>Casa de Máquinas</t>
  </si>
  <si>
    <t>3.3</t>
  </si>
  <si>
    <t>INSTALAÇÕES HIDROSSANITÁRIAS</t>
  </si>
  <si>
    <t>3.3.1</t>
  </si>
  <si>
    <t>Tubulação, Registros Caixas</t>
  </si>
  <si>
    <t>3.4</t>
  </si>
  <si>
    <t>INSTALAÇÕES ELÉTRICA, LÓGICA E TELEFONIA</t>
  </si>
  <si>
    <t>3.4.1</t>
  </si>
  <si>
    <t>3.4.2</t>
  </si>
  <si>
    <t>Instalações Lógica</t>
  </si>
  <si>
    <t>3.4.3</t>
  </si>
  <si>
    <t xml:space="preserve">Instalações Telefonia </t>
  </si>
  <si>
    <t>3.5</t>
  </si>
  <si>
    <t>CLIMATIZAÇÃO</t>
  </si>
  <si>
    <t>3.5.1</t>
  </si>
  <si>
    <t>3.5.2</t>
  </si>
  <si>
    <t>Controle Nível de CO2</t>
  </si>
  <si>
    <t>3.5.3</t>
  </si>
  <si>
    <t>Rede Dutos em Chapa de Aço</t>
  </si>
  <si>
    <t>3.5.4</t>
  </si>
  <si>
    <t>Gabinete de Ventilação</t>
  </si>
  <si>
    <t>3.5.5</t>
  </si>
  <si>
    <t>Cortina de Ar</t>
  </si>
  <si>
    <t>3.5.6</t>
  </si>
  <si>
    <t>3.6</t>
  </si>
  <si>
    <t>3.6.1</t>
  </si>
  <si>
    <t>3.6.2</t>
  </si>
  <si>
    <t>PREÇO TOTAL:</t>
  </si>
  <si>
    <t>PRAZO DE EXECUÇÃO:</t>
  </si>
  <si>
    <t>meses</t>
  </si>
  <si>
    <t>REFERÊNCIA:</t>
  </si>
  <si>
    <t>NÃO DESONERADO</t>
  </si>
  <si>
    <t>PLANILHA ORÇAMENTÁRIA</t>
  </si>
  <si>
    <t>R0</t>
  </si>
  <si>
    <t>REFERÊNCIA DE PREÇOS</t>
  </si>
  <si>
    <t>UNIDADE</t>
  </si>
  <si>
    <t>QUANTIDADE</t>
  </si>
  <si>
    <t>CUSTO (SEM BDI - R$)</t>
  </si>
  <si>
    <t>BANCO</t>
  </si>
  <si>
    <t>CÓDIGO</t>
  </si>
  <si>
    <t>Unitário (R$)</t>
  </si>
  <si>
    <t>Total (R$)</t>
  </si>
  <si>
    <t>1.1.1.1</t>
  </si>
  <si>
    <t>CO-27337</t>
  </si>
  <si>
    <t>ENGENHEIRO ELETRICISTA COM ENCARGOS COMPLEMENTARES</t>
  </si>
  <si>
    <t>H</t>
  </si>
  <si>
    <t>1.1.1.2</t>
  </si>
  <si>
    <t>ENGENHEIRO MECÂNICO COM ENCARGOS COMPLEMENTARES</t>
  </si>
  <si>
    <t>1.1.1.3</t>
  </si>
  <si>
    <t>ENGENHEIRO CIVIL COM ENCARGOS COMPLEMENTARES</t>
  </si>
  <si>
    <t>1.1.1.4</t>
  </si>
  <si>
    <t>ENCARREGADO GERAL DE OBRAS COM ENCARGOS COMPLEMENTARES</t>
  </si>
  <si>
    <t>MÊS</t>
  </si>
  <si>
    <t>1.1.1.5</t>
  </si>
  <si>
    <t>TÉCNICO EM SEGURANÇA DO TRABALHO COM ENCARGOS COMPLEMENTARES</t>
  </si>
  <si>
    <t>1.1.2.1</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</si>
  <si>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</si>
  <si>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</si>
  <si>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M2</t>
  </si>
  <si>
    <t>x</t>
  </si>
  <si>
    <t>1.2.1.1</t>
  </si>
  <si>
    <t>ED-50270</t>
  </si>
  <si>
    <t>LIMPEZA PERMANENTE DA OBRA - 01 SERVENTE X 4 HORAS DIÁRIAS</t>
  </si>
  <si>
    <t>1.2.1.2</t>
  </si>
  <si>
    <t>03.25.01</t>
  </si>
  <si>
    <t>CAÇAMBA 5m³</t>
  </si>
  <si>
    <t>VG</t>
  </si>
  <si>
    <t>1.3.1.1</t>
  </si>
  <si>
    <t>CCU</t>
  </si>
  <si>
    <t>SPD-001</t>
  </si>
  <si>
    <t>CONECTOR E TERMINAL PARA CABO #50MM² CONEXÃO EM CHAPA/HASTE PARA DESCIDAS DE SPDA</t>
  </si>
  <si>
    <t>CJ</t>
  </si>
  <si>
    <t>1.3.1.2</t>
  </si>
  <si>
    <t>11.92.09</t>
  </si>
  <si>
    <t>TERMINAL AÉREO BASE PLANA GALVANIZADO A QUENTE 500MM</t>
  </si>
  <si>
    <t>UN</t>
  </si>
  <si>
    <t>1.3.1.3</t>
  </si>
  <si>
    <t>SPD-002</t>
  </si>
  <si>
    <t>BEP</t>
  </si>
  <si>
    <t>1.3.1.4</t>
  </si>
  <si>
    <t>SPD-003</t>
  </si>
  <si>
    <t>KIT PARA SOLDA EXOTERMICA</t>
  </si>
  <si>
    <t>1.3.1.5</t>
  </si>
  <si>
    <t>ED-49193</t>
  </si>
  <si>
    <t>CAIXA DE INSPEÇÃO EM ELETRODUTO</t>
  </si>
  <si>
    <t>1.3.1.6</t>
  </si>
  <si>
    <t>ED-13935</t>
  </si>
  <si>
    <t>CABO DE COBRE NU #50 MM2 - 7 FIOSX3,00MM, PARA ELEMENTOS DE CAPTAÇÃO/ANEL DE CINTAMENTO (SPDA), INCLUSIVE PRESILHA DE FIXAÇÃO</t>
  </si>
  <si>
    <t>M</t>
  </si>
  <si>
    <t>1.3.1.7</t>
  </si>
  <si>
    <t>ED-13937</t>
  </si>
  <si>
    <t>CABO DE ALUMÍNIO NU SEM ALMA 2/0 AWG 7 FIOSX3,70MM, PARA ELEMENTOS DE CAPTAÇÃO/ANEL DE CINTAMENTO (SPDA), INCLUSIVE PRESILHA DE FIXAÇÃO</t>
  </si>
  <si>
    <t>1.3.1.8</t>
  </si>
  <si>
    <t>CONECTOR SPLIT-BOLT, PARA SPDA, PARA CABOS ATÉ 70 MM2 - FORNECIMENTO E INSTALAÇÃO</t>
  </si>
  <si>
    <t>1.3.1.9</t>
  </si>
  <si>
    <t>MINI CAPTOR PARA SPDA - FORNECIMENTO E INSTALAÇÃO</t>
  </si>
  <si>
    <t>1.3.1.10</t>
  </si>
  <si>
    <t>ED-51055</t>
  </si>
  <si>
    <t>CAIXA DE INSPEÇÃO EM PVC, DIÂMETRO DE 30CM, ALTURA DE 30CM, COM TAMPA EM FERRO FUNDIDO, EXCLUSIVE HASTE DE ATERRAMENTO, INCLUSIVE INSTALAÇÃO</t>
  </si>
  <si>
    <t>1.3.1.11</t>
  </si>
  <si>
    <t>HASTE DE ATERRAMENTO, DIÂMETRO 5/8", COM 3 METROS - FORNECIMENTO E INSTALAÇÃO</t>
  </si>
  <si>
    <t>1.3.1.12</t>
  </si>
  <si>
    <t>ELETRODUTO FLEXÍVEL CORRUGADO, PVC, DN 32 MM (1"), PARA CIRCUITOS TERMINAIS, INSTALADO EM PAREDE - FORNECIMENTO E INSTALAÇÃO</t>
  </si>
  <si>
    <t>1.3.1.13</t>
  </si>
  <si>
    <t>ELETRODUTO RÍGIDO ROSCÁVEL, PVC, DN 32 MM (1"), PARA CIRCUITOS TERMINAIS, INSTALADO EM FORRO - FORNECIMENTO E INSTALAÇÃO</t>
  </si>
  <si>
    <t>1.3.1.14</t>
  </si>
  <si>
    <t>ED-49122</t>
  </si>
  <si>
    <t>CONDULETE DE ALUMÍNIO, TIPO "LL", DIÂMETRO DE SAÍDA 1" (25MM), EXCLUSIVE MÓDULO E PLACA, INCLUSIVE FIXAÇÃO</t>
  </si>
  <si>
    <t>1.3.1.15</t>
  </si>
  <si>
    <t>ED-49089</t>
  </si>
  <si>
    <t>CONDULETE DE ALUMÍNIO, TIPO "T", DIÂMETRO DE SAÍDA 1" (25MM), EXCLUSIVE MÓDULO E PLACA, INCLUSIVE FIXAÇÃO</t>
  </si>
  <si>
    <t>1.3.1.16</t>
  </si>
  <si>
    <t>ED-17991</t>
  </si>
  <si>
    <t>PLACA CEGA PARA CONDULETE, COM DIÂMETRO DE SAÍDA 1" (25MM), EXCLUSIVE CONDULETE</t>
  </si>
  <si>
    <t>1.3.1.17</t>
  </si>
  <si>
    <t>ED-49001</t>
  </si>
  <si>
    <t>CABO DE COBRE FLEXÍVEL, CLASSE 5, ISOLAMENTO TIPO EPR/HEPR, NÃO HALOGENADO, ANTICHAMA, TERMOFIXO, UNIPOLAR, SEÇÃO 16 MM2, 90°C, 0,6/1KV</t>
  </si>
  <si>
    <t>1.3.1.18</t>
  </si>
  <si>
    <t>ELETRODUTO RÍGIDO ROSCÁVEL, PVC, DN 19 MM (3/4"), PARA CIRCUITOS TERMINAIS, INSTALADO EM FORRO - FORNECIMENTO E INSTALAÇÃO</t>
  </si>
  <si>
    <t>1.3.1.19</t>
  </si>
  <si>
    <t>ELETRODUTO RÍGIDO ROSCÁVEL, PVC, DN 32 MM (1 1/4"), PARA CIRCUITOS TERMINAIS, INSTALADO EM PAREDE - FORNECIMENTO E INSTALAÇÃO</t>
  </si>
  <si>
    <t>1.3.1.20</t>
  </si>
  <si>
    <t>ED-49311</t>
  </si>
  <si>
    <t>ELETRODUTO DE PVC RÍGIDO ROSCÁVEL, DN 40 MM (1.1/2"), INCLUSIVE CONEXÕES, SUPORTES E FIXAÇÃO</t>
  </si>
  <si>
    <t>1.3.1.21</t>
  </si>
  <si>
    <t>ED-49312</t>
  </si>
  <si>
    <t>ELETRODUTO DE PVC RÍGIDO ROSCÁVEL, DN 50 MM (2"), INCLUSIVE CONEXÕES, SUPORTES E FIXAÇÃO</t>
  </si>
  <si>
    <t>1.3.1.22</t>
  </si>
  <si>
    <t>ED-49004</t>
  </si>
  <si>
    <t>CABO DE COBRE FLEXÍVEL, CLASSE 5, ISOLAMENTO TIPO EPR/HEPR, NÃO HALOGENADO, ANTICHAMA, TERMOFIXO, UNIPOLAR, SEÇÃO 25 MM2, 90°C, 0,6/1KV</t>
  </si>
  <si>
    <t>1.3.1.23</t>
  </si>
  <si>
    <t>ED-51019</t>
  </si>
  <si>
    <t>BARRA CHATA DE ALUMÍNIO 7/8" X 1/8" TEL-771</t>
  </si>
  <si>
    <t>1.3.1.24</t>
  </si>
  <si>
    <t>ED-49121</t>
  </si>
  <si>
    <t>CONDULETE DE ALUMÍNIO, TIPO "LL", DIÂMETRO DE SAÍDA 3/4" (20MM), EXCLUSIVE MÓDULO E PLACA, INCLUSIVE FIXAÇÃO</t>
  </si>
  <si>
    <t>1.3.1.25</t>
  </si>
  <si>
    <t>ED-49106</t>
  </si>
  <si>
    <t>CONDULETE DE ALUMÍNIO, TIPO "LR", DIÂMETRO DE SAÍDA 3/4" (20MM), EXCLUSIVE MÓDULO E PLACA, INCLUSIVE FIXAÇÃO</t>
  </si>
  <si>
    <t>1.3.1.26</t>
  </si>
  <si>
    <t>ED-49088</t>
  </si>
  <si>
    <t>CONDULETE DE ALUMÍNIO, TIPO "T", DIÂMETRO DE SAÍDA 3/4" (20MM), EXCLUSIVE MÓDULO E PLACA, INCLUSIVE FIXAÇÃO</t>
  </si>
  <si>
    <t>1.3.1.27</t>
  </si>
  <si>
    <t>1.3.1.28</t>
  </si>
  <si>
    <t>SPD-004</t>
  </si>
  <si>
    <t>ISOLADOR DEHNISO 1030mm COM DISTANCIA DE ISOLAMENTO 950mm COM BASE PERPENDICULAR E ABRAÇADEIRA INOX PARA CONDUTORES CHATOS DE 70MM²</t>
  </si>
  <si>
    <t>1.4.1.1</t>
  </si>
  <si>
    <t>FIN-002</t>
  </si>
  <si>
    <t>PROJETO "AS BUILT" DE INSTALAÇÕES SPDA</t>
  </si>
  <si>
    <t>2.1.1.1</t>
  </si>
  <si>
    <t>DEM-050</t>
  </si>
  <si>
    <t>REMANEJAMENTO DE EQUIPAMENTO MECÂNICO (TORRES DE RESFRIAMENTO)</t>
  </si>
  <si>
    <t>2.1.1.2</t>
  </si>
  <si>
    <t>DEM-051</t>
  </si>
  <si>
    <t>REMOÇÃO DE EQUIPAMENTO MECÂNICO (CHILLER)</t>
  </si>
  <si>
    <t>2.1.1.3</t>
  </si>
  <si>
    <t>DEM-052</t>
  </si>
  <si>
    <t>REMOÇÃO DE EQUIPAMENTO MECÂNICO (TORRES DE RESFRIAMENTO)</t>
  </si>
  <si>
    <t>2.1.1.4</t>
  </si>
  <si>
    <t>ED-48445</t>
  </si>
  <si>
    <t>DEMOLIÇÃO DE BASE DE CONCRETO EXISTENTE PARA TORRES DE RESFRIAMENTO DE ÁGUA COM UTILIZAÇÃO DE MARTELETE</t>
  </si>
  <si>
    <t>M3</t>
  </si>
  <si>
    <t>2.1.1.5</t>
  </si>
  <si>
    <t>ESCAVAÇÃO MANUAL DE VALA COM PROFUNDIDADE MENOR OU IGUAL A 1,30 M. AF_02/2021</t>
  </si>
  <si>
    <t>2.1.2.1</t>
  </si>
  <si>
    <t>ED-51096</t>
  </si>
  <si>
    <t>MOVIMENTAÇÃO DE TERRA PARA ATERRO E NIVELAMENTO COM EQUIPAMENTO MECÂNICO</t>
  </si>
  <si>
    <t>2.1.2.2</t>
  </si>
  <si>
    <t>COMPACTAÇÃO MECÂNICA DE SOLO PARA EXECUÇÃO DE RADIER, PISO DE CONCRETO OU LAJE SOBRE SOLO, COM COMPACTADOR DE SOLOS A PERCUSSÃO. AF_09/2021</t>
  </si>
  <si>
    <t>2.1.2.3</t>
  </si>
  <si>
    <t>ENGENHEIRO CIVIL GEOTÉCNICO PARA ACOMPANHAMENTO DE COMPACTAÇÃO DO SOLO</t>
  </si>
  <si>
    <t>Instalação provisória de Torres de Resfriamento</t>
  </si>
  <si>
    <t>2.1.3.1</t>
  </si>
  <si>
    <t>TRANSPORTE COM CAMINHÃO CARROCERIA COM GUINDAUTO (MUNCK),  MOMENTO MÁXIMO DE CARGA 11,7 TM, EM VIA INTERNA (DENTRO DO CANTEIRO - UNIDADE: TXKM). AF_07/2020</t>
  </si>
  <si>
    <t>TxKM</t>
  </si>
  <si>
    <t>2.1.3.2</t>
  </si>
  <si>
    <t>Tubo em PVC, cor marron para conexões soldáveis, Linha PBS conforme NBR 5648 - diâmetro = 8" classe de pressão 12. Ref.: Tigre ou equivalente</t>
  </si>
  <si>
    <t>2.1.3.3</t>
  </si>
  <si>
    <t>TOR-01</t>
  </si>
  <si>
    <t>Curva 90º em PVC, cor marron para conexões soldáveis, Linha PBS conforme NBR 5648 - diâmetro = 8" Ref.: Tigre ou equivalente</t>
  </si>
  <si>
    <t>2.1.3.4</t>
  </si>
  <si>
    <t>TOR-02</t>
  </si>
  <si>
    <t>Flange com furos em PVC, cor marron para conexões soldáveis, Linha PBS conforme NBR 5648  Ref.: Tigre ou equivalente</t>
  </si>
  <si>
    <t>2.1.3.5</t>
  </si>
  <si>
    <t>Flange de aço para solda com pescoço, faceamento com resalto, classe 150, padrão ansi-16.5 - norma astm-a105 - diâmetro = 8". Ref. Niagara ou equivalente</t>
  </si>
  <si>
    <t>Instalação provisória para atendimento a 3º pavimento ala B</t>
  </si>
  <si>
    <t>2.1.4.1</t>
  </si>
  <si>
    <t>Tubo em PVC, cor branco para conexões roscáveis, conforme NBR 5648 - diâmetro = 4" com isolação e suportes</t>
  </si>
  <si>
    <t>2.1.4.2</t>
  </si>
  <si>
    <t>Tubo em PVC, cor branco para conexões roscáveis, conforme NBR 5648 - diâmetro = 3" com isolação e suportes</t>
  </si>
  <si>
    <t>2.1.4.3</t>
  </si>
  <si>
    <t>Tubo em PVC, cor branco para conexões roscáveis, conforme NBR 5648 - diâmetro = 21/2" com isolação e suportes</t>
  </si>
  <si>
    <t>2.1.4.4</t>
  </si>
  <si>
    <t>Tubo em PVC, cor branco para conexões roscáveis, conforme NBR 5648 - diâmetro = 2" com isolação e suportes</t>
  </si>
  <si>
    <t>2.1.4.5</t>
  </si>
  <si>
    <t xml:space="preserve">Curva em 90º em ferro maleável, norma ABNT-6414, galvanizada , rosqueada  - diâmetro = 4" </t>
  </si>
  <si>
    <t>2.1.4.6</t>
  </si>
  <si>
    <t xml:space="preserve">Curva em 90º em ferro maleável, norma ABNT-6414, galvanizada , rosqueada  - diâmetro = 3" </t>
  </si>
  <si>
    <t>2.1.4.7</t>
  </si>
  <si>
    <t xml:space="preserve">Curva em 90º em ferro maleável, norma ABNT-6414, galvanizada , rosqueada  - diâmetro = 21/2" </t>
  </si>
  <si>
    <t>2.1.4.8</t>
  </si>
  <si>
    <t xml:space="preserve">Curva em 90º em ferro maleável, norma ABNT-6414, galvanizada , rosqueada  - diâmetro = 2" </t>
  </si>
  <si>
    <t>2.1.4.9</t>
  </si>
  <si>
    <t xml:space="preserve">Curva em 45º em ferro maleável, norma ABNT-6414, galvanizada , rosqueada  - diâmetro = 4" </t>
  </si>
  <si>
    <t>2.1.4.10</t>
  </si>
  <si>
    <t xml:space="preserve">Curva em 45º em ferro maleável, norma ABNT-6414, galvanizada , rosqueada  - diâmetro = 2" </t>
  </si>
  <si>
    <t>2.1.4.11</t>
  </si>
  <si>
    <t>Luva em ferro maleável, norma ABNT-6414, galvanizada , rosqueada  - diâmetro = 4"</t>
  </si>
  <si>
    <t>2.1.4.12</t>
  </si>
  <si>
    <t>Luva em ferro maleável, norma ABNT-6414, galvanizada , rosqueada  - diâmetro = 3"</t>
  </si>
  <si>
    <t>2.1.4.13</t>
  </si>
  <si>
    <t>Luva em ferro maleável, norma ABNT-6414, galvanizada , rosqueada  - diâmetro = 2"</t>
  </si>
  <si>
    <t>2.1.4.14</t>
  </si>
  <si>
    <t>Válvula gaveta em bronze, com rosca ABNT-NBR-6414, haste ascendente interna  classe 150 - diâmetro = 4" Ref.Niagara ou Equivalente</t>
  </si>
  <si>
    <t>2.1.4.15</t>
  </si>
  <si>
    <t>CABO DE COBRE FLEXÍVEL ISOLADO, 6 MM², ANTI-CHAMA 0,6/1,0 KV, PARA CIRCUITOS TERMINAIS - FORNECIMENTO E INSTALAÇÃO. AF_03/2023</t>
  </si>
  <si>
    <t>2.1.4.16</t>
  </si>
  <si>
    <t xml:space="preserve">ED-48245 </t>
  </si>
  <si>
    <t>MONTAGEM E DESMONTAGEM DE ANDAIME METÁLICO PARA FACHADA COM PISO METÁLICO, INCLUSIVE RODAPÉ/GUARDA-CORPO EM MADEIRA, EXCLUSIVE FORNECIMENTO DO ANDAIME (PARA MONTAGEM DAS INSTALAÇÕES PROVISÓRIAS DE CLIMATIZAÇÃO DO 3º PAVIMENTO)</t>
  </si>
  <si>
    <t>2.1.4.17</t>
  </si>
  <si>
    <t>ED-9075</t>
  </si>
  <si>
    <t>FORNECIMENTO DE ANDAIME METÁLICO PARA FACHADA (LOCAÇÃO), INCLUSIVE PISO METÁLICO E SAPATAS, EXCLUSIVE MONTAGEM E DESMONTAGEM (PARA MONTAGEM DAS INSTALAÇÕES PROVISÓRIAS DE CLIMATIZAÇÃO DO 3º PAVIMENTO)</t>
  </si>
  <si>
    <t>M2/MÊS</t>
  </si>
  <si>
    <t>2.1.5.1</t>
  </si>
  <si>
    <t>2.2.1.1</t>
  </si>
  <si>
    <t>CONSTRUÇÃO DE CONTENÇÃO COM CONCRETO ARMADO USINADO</t>
  </si>
  <si>
    <t>2.2.1.2</t>
  </si>
  <si>
    <t>CONSTRUÇÃO DE BASE DE CONCRETO  TIPO RADIER PARA CHILLERS</t>
  </si>
  <si>
    <t>2.2.1.3</t>
  </si>
  <si>
    <t>ED-14748</t>
  </si>
  <si>
    <t>CONSTRUÇÃO CANALETA EM CONCRETO PARA PASSAGEM DE TUBULAÇÃO DE ÁGUA GELADA, COM UTILIZAÇÃO DE CONCRETO ARMADO</t>
  </si>
  <si>
    <t>2.2.1.4</t>
  </si>
  <si>
    <t>ED-48334</t>
  </si>
  <si>
    <t>CONSTRUÇÃO DE TAMPAS DE CONCRETO PARA VEDAÇÃO DE CANALETA</t>
  </si>
  <si>
    <t>2.2.1.5</t>
  </si>
  <si>
    <t>FORNECIMENTO E INSTALAÇÃO DE CANALETA COM TUBO PRÉ-MOLDADO DE CONCRETO ARMADO COM DIÂMETRO DE 1000 MM, JUNTA ELÁSTICA, INSTALADO EM LOCAL COM BAIXO NÍVEL DE INTERFERÊNCIAS - FORNECIMENTO E ASSENTAMENTO. AF_03/2024</t>
  </si>
  <si>
    <t>INSTALAÇÕES ELÉTRICAS E LÓGICA - CAG</t>
  </si>
  <si>
    <t>2.3.1.1</t>
  </si>
  <si>
    <t>ED-48995</t>
  </si>
  <si>
    <t>CABO DE COBRE FLEXÍVEL, CLASSE 5, ISOLAMENTO TIPO EPR/HEPR, NÃO HALOGENADO, ANTICHAMA, TERMOFIXO, UNIPOLAR, SEÇÃO 6 MM2, 90°C, 0,6/1KV</t>
  </si>
  <si>
    <t>2.3.1.2</t>
  </si>
  <si>
    <t>ED-48998</t>
  </si>
  <si>
    <t>CABO DE COBRE FLEXÍVEL, CLASSE 5, ISOLAMENTO TIPO EPR/HEPR, NÃO HALOGENADO, ANTICHAMA, TERMOFIXO, UNIPOLAR, SEÇÃO 10 MM2, 90°C, 0,6/1KV</t>
  </si>
  <si>
    <t>2.3.1.3</t>
  </si>
  <si>
    <t>ED-49007</t>
  </si>
  <si>
    <t>CABO DE COBRE FLEXÍVEL, CLASSE 5, ISOLAMENTO TIPO EPR/HEPR, NÃO HALOGENADO, ANTICHAMA, TERMOFIXO, UNIPOLAR, SEÇÃO 35 MM2, 90°C, 0,6/1KV</t>
  </si>
  <si>
    <t>2.3.1.4</t>
  </si>
  <si>
    <t>ED-49013</t>
  </si>
  <si>
    <t>CABO DE COBRE FLEXÍVEL, CLASSE 5, ISOLAMENTO TIPO EPR/HEPR, NÃO HALOGENADO, ANTICHAMA, TERMOFIXO, UNIPOLAR, SEÇÃO 70 MM2, 90°C, 0,6/1KV</t>
  </si>
  <si>
    <t>2.3.1.5</t>
  </si>
  <si>
    <t>ED-49016</t>
  </si>
  <si>
    <t>CABO DE COBRE FLEXÍVEL, CLASSE 5, ISOLAMENTO TIPO EPR/HEPR, NÃO HALOGENADO, ANTICHAMA, TERMOFIXO, UNIPOLAR, SEÇÃO 95 MM2, 90°C, 0,6/1KV</t>
  </si>
  <si>
    <t>2.3.1.6</t>
  </si>
  <si>
    <t>ED-49025</t>
  </si>
  <si>
    <t>CABO DE COBRE FLEXÍVEL, CLASSE 5, ISOLAMENTO TIPO EPR/HEPR, NÃO HALOGENADO, ANTICHAMA, TERMOFIXO, UNIPOLAR, SEÇÃO 185 MM2, 90°C, 0,6/1KV</t>
  </si>
  <si>
    <t>2.3.1.7</t>
  </si>
  <si>
    <t>ED-48362</t>
  </si>
  <si>
    <t>IDENTIFICAÇÃO DE CONDUTORES (TRÊS ANILHAS)</t>
  </si>
  <si>
    <t>2.3.1.8</t>
  </si>
  <si>
    <t>ED-19520</t>
  </si>
  <si>
    <t>ELETROCALHA PERFURADA (100X100)MM EM CHAPA DE AÇO GALVANIZADO #18, COM TRATAMENTO PRÉ-ZINCADO, INCLUSIVE TAMPA DE ENCAIXE, FIXAÇÃO SUPERIOR, CONEXÕES E ACESSÓRIOS</t>
  </si>
  <si>
    <t>2.3.1.9</t>
  </si>
  <si>
    <t>ED-19526</t>
  </si>
  <si>
    <t>ELETROCALHA PERFURADA (300X100)MM EM CHAPA DE AÇO GALVANIZADO #18, COM TRATAMENTO PRÉ-ZINCADO, INCLUSIVE TAMPA DE ENCAIXE, FIXAÇÃO SUPERIOR, CONEXÕES E ACESSÓRIOS</t>
  </si>
  <si>
    <t>2.3.1.10</t>
  </si>
  <si>
    <t>QDE-003</t>
  </si>
  <si>
    <t>2.3.1.11</t>
  </si>
  <si>
    <t>ED-49308</t>
  </si>
  <si>
    <t>ELETRODUTO DE PVC RÍGIDO ROSCÁVEL Ø=3/4", INCLUSIVE CONEXÕES</t>
  </si>
  <si>
    <t>2.3.1.12</t>
  </si>
  <si>
    <t>ED-49309</t>
  </si>
  <si>
    <t>ELETRODUTO DE PVC RÍGIDO ROSCÁVEL Ø=1", INCLUSIVE CONEXÕES</t>
  </si>
  <si>
    <t>2.3.1.13</t>
  </si>
  <si>
    <t>ELETRODUTO DE PVC RÍGIDO ROSCÁVEL Ø=1.1/2", INCLUSIVE CONEXÕES</t>
  </si>
  <si>
    <t>Instalações de Lógica/Automação</t>
  </si>
  <si>
    <t>2.3.2.1</t>
  </si>
  <si>
    <t>ED-49450</t>
  </si>
  <si>
    <t>PERFILADO PERFURADO (38X38)MM EM CHAPA DE AÇO GALVANIZADO #18, COM TRATAMENTO PRÉ-ZINCADO, INCLUSIVE TAMPA DE ENCAIXE, FIXAÇÃO SUPERIOR, CONEXÕES E ACESSÓRIOS</t>
  </si>
  <si>
    <t>2.3.2.2</t>
  </si>
  <si>
    <t>RACK FECHADO PARA SERVIDOR - FORNECIMENTO E INSTALAÇÃO. AF_11/2019</t>
  </si>
  <si>
    <t>2.3.2.3</t>
  </si>
  <si>
    <t>ED-49318</t>
  </si>
  <si>
    <t>ELETRODUTO DE AÇO GALVANIZADO LEVE, INCLUSIVE CONEXÕES, SUPORTES E FIXAÇÃO DN 25 (1")</t>
  </si>
  <si>
    <t>2.3.2.4</t>
  </si>
  <si>
    <t>ED-5631</t>
  </si>
  <si>
    <t>MÓDULO PARA REDE (CONECTOR RJ45 CAT.6E), INCLUSIVE FORNECIMENTO E INSTALAÇÃO, EXCLUSIVE PLACA E SUPORTE</t>
  </si>
  <si>
    <t>2.3.2.5</t>
  </si>
  <si>
    <t>CABO UTP 4 PARES CATEGORIA 6 COM REVESTIMENTO EXTERNO NÃO PROPAGANTE A CHAMA</t>
  </si>
  <si>
    <t>2.3.2.6</t>
  </si>
  <si>
    <t>CMT-002</t>
  </si>
  <si>
    <t>2.3.2.7</t>
  </si>
  <si>
    <t>PROGRAMAÇÃO DE SISTEMA DE CONTROLE CAG E SUPERVISÓRIO - ENGENHEIRO CONTROLE AUTOMAÇÃO</t>
  </si>
  <si>
    <t>2.3.2.8</t>
  </si>
  <si>
    <t>CMT-003</t>
  </si>
  <si>
    <t>FORNECIMENTO INSTALAÇÃO E PROGRAMAÇÃO DE CONTROLADOR LÓGICO PROGRAMÁVEL INSTALADO EM RACK PARA CONTROLE DO SISTEMA DE CLIMATIZAÇÃO</t>
  </si>
  <si>
    <t>2.3.2.9</t>
  </si>
  <si>
    <t>CMT-004</t>
  </si>
  <si>
    <t>FORNECIMENTO E INSTALAÇÃO DE SWITCH PARA REDE DE AUTOMAÇÃO, INSTALADO EM RACK</t>
  </si>
  <si>
    <t>2.4.1.1</t>
  </si>
  <si>
    <t>Unidades Resfriadoras de Água - CHILLER A AR</t>
  </si>
  <si>
    <t>2.4.1.1.1</t>
  </si>
  <si>
    <t>CMT-001</t>
  </si>
  <si>
    <t>UNIDADE RESFRIADORA DE ÁGUA "CHILLER" COM CONDENSAÇÃO A AR,  COMPRESSOR VFD PARAFUSO COM PROTEÇÃO ACÚSTICA, VENTILADORES DO CONDENSADOR COM VARIADOR DE FREQUENCIA, REFRIGERANTE R-134A. MODELO 30XV180H - UR-01 E UR-02. CAPACIDADE FRIGORÍFICA = 633 KW (180TR) EFICÊNCIA 9COPR) = 3,437 KW/KW. TEMPERATURA DE ENTRADA/SAÍDA DA ÁGUA = 12,5°C/7,0°C. VAZÃO DE ÁGUA GELADA =102,5 M3/H. POTENCIA ELÉTRICA = 168,4 KW (220V/3F/60HZ). DIMENSÕES (L/A/C) = 2237/2512/7661 MM; PESO = 6391 KG.  REF.: CARRIER OU EQUIVALENTE</t>
  </si>
  <si>
    <t>2.4.1.2</t>
  </si>
  <si>
    <t>Bombas Centrífugas</t>
  </si>
  <si>
    <t>2.4.1.2.1</t>
  </si>
  <si>
    <t>BOM-001</t>
  </si>
  <si>
    <t>BOMBA CENTRÍFUGA, SUCÇÃO HORIZONTAL, DECARGA VERTICAL PARA CIMA, COM MOTOR ELÉTRICO, MODELO NBG 125-100-315/334 AASJ2AESBQQESX4 - BAGS-01 E BAGS-02. VAZÃO DE ÁGUA = 205 M3/H. ALTURA MANOMÉTRICA = 37,25 MCA. RENDIMENTO = 85%. ROTAÇÃO = 1750 RPM. DIÂMETROS SUCÇÃO/RECALQUE = 5"/4". POTÊNCIA MOTOR ELÉTRICO = 50 CV(220V/3F/60HZ). ACESSÓRIOS: BASE METÁLICA, ACOPLAMENTO E PROTETOR DE ACOPLAMENTO. PESO DA UNIDADE = 505 KG. REF.: GRUNDFOS OU EQUIVALENTE</t>
  </si>
  <si>
    <t>2.4.1.2.2</t>
  </si>
  <si>
    <t>BOM-002</t>
  </si>
  <si>
    <t>BOMBA CENTRÍFUGA, SUCÇÃO HORIZONTAL, DECARGA VERTICAL PARA CIMA, COM MOTOR ELÉTRICO. MODELO NBG 125-80-200/222 AASJ2AESBQQENX4 - BAGP-01, BAGP-02 E BAGP-03. VAZÃO DE ÁGUA = 102,5 M3/H. ALTURA MANOMÉTRICA = 16,8 MCA. RENDIMENTO = 77,7%. ROTAÇÃO = 1750 RPM. DIÂMETROS SUCÇÃO/RECALQUE = 5"/3". POTÊNCIA MOTOR ELÉTRICO = 15 CV(220V/3F/60HZ). ACESSÓRIOS: BASE METÁLICA, ACOPLAMENTO E PROTETOR DE ACOPLAMENTO. PESO DA UNIDADE = 256 KG. REF.: GRUNDFOS OU EQUIVALENTE</t>
  </si>
  <si>
    <t>2.4.1.2.3</t>
  </si>
  <si>
    <t>BOM-003</t>
  </si>
  <si>
    <t>BOMBA CENTRÍFUGA, SUCÇÃO HORIZONTAL, DECARGA VERTICAL PARA CIMA, COM MOTOR ELÉTRICO. MODELO NBG NBG 80-50-200/183 AAJ2AESBQQEJX4  - BAGP-04 E BAGP-05. VAZÃO DE ÁGUA = 32 M3/H. ALTURA MANOMÉTRICA = 15,9 MCA. RENDIMENTO = 73,8%. ROTAÇÃO = 1750 RPM. DIÂMETROS SUCÇÃO/RECALQUE = 3"/2". POTÊNCIA MOTOR ELÉTRICO = 4 CV(220V/3F/60HZ). ACESSÓRIOS: BASE METÁLICA, ACOPLAMENTO E PROTETOR DE ACOPLAMENTO. PESO DA UNIDADE = 256 KG. REF.: GRUNDFOS OU EQUIVALENTE</t>
  </si>
  <si>
    <t>2.4.2.1</t>
  </si>
  <si>
    <t>CMT-005</t>
  </si>
  <si>
    <t>TRANSMISSOR DE PRESSÃO DIFERENCIAL PARA AR MODELO DPTM 250, CLASSE DE PROTEÇÃO IP. PRESSÃO DE OPERAÇÃO = 0-250 PA(0-25 MMCA). SINAL DE SAÍDA = 0-10 VDC, 4-20 MA. ALIMENTAÇÃO = 18-30 VAC/DC - 50/60 HZ. REF.: HONEYWELL OU EQUIVALENTE</t>
  </si>
  <si>
    <t>2.4.2.2</t>
  </si>
  <si>
    <t>CMT-006</t>
  </si>
  <si>
    <t>TRANSMISSOR DE PRESSÃO MANOMÉTRICA PARA ÁGUA MODELO MLH150PSCDJ1236, CLASSE DE PROTEÇÃO IP. PRESSÃO DE OPERAÇÃO = 0-10 BAR. SINAL DE SAÍDA = 0-10 VDC, 4-20 MA                                                                                                                                                                                                ALIMENTAÇÃO = 9,5-30 VAC/DC - 50/60 HZ. REF.: HONEYWELL OU EQUIVALENTE</t>
  </si>
  <si>
    <t>2.4.2.3</t>
  </si>
  <si>
    <t>CMT-007</t>
  </si>
  <si>
    <t>PURGADOR DE AR MODELO13WH, DIÂMETRO = 1", PRESSÃO ADMISSÍVEL  = 300 PSI. REF.: SPIRAX-SARCO OU EQUIVALENTE</t>
  </si>
  <si>
    <t>2.4.2.4</t>
  </si>
  <si>
    <t>TUBO EM AÇO SEM COSTURA, GALVANIZADO, EXTERMIDADE ROSQUEADA, NORMA ASTM-A53, DIÂMETRO = 1"</t>
  </si>
  <si>
    <t>2.4.2.5</t>
  </si>
  <si>
    <t>VÁLVULA DE ESFERA BRUTA, BRONZE, ROSCÁVEL, 1'' - FORNECIMENTO E INSTALAÇÃO. AF_08/2021</t>
  </si>
  <si>
    <t>2.4.2.6</t>
  </si>
  <si>
    <t>ED-48256</t>
  </si>
  <si>
    <t>FILTRO Y, COM CONEXÃO ROSQUEADA EM BRONZE, DIÂMETRO=1", ELEMENTO FILTRANTE COM FURAÇÃO = 20 MESH, PRESSÃO = 150 PSI. REF.: NIAGARA OU EQUIVALENTE</t>
  </si>
  <si>
    <t>2.4.2.7</t>
  </si>
  <si>
    <t>NIPLE DUPLO EM FERRO GALVANIZADO, CONFORME NORMA NBR 6590, DIÂMETRO=1". REF. TUPY OU EQUIVALENTE</t>
  </si>
  <si>
    <t>2.4.2.8</t>
  </si>
  <si>
    <t>CMT-008</t>
  </si>
  <si>
    <t>CHAVE DE FLUXO MODELO S6065A1003, CLASSE DE PROTEÇÃO IP65. CONTATO ELÉTRICO = 15 A 250 VAC. PRESSÃO ADMISSÍVEL = 11 BAR. REF.: HONEYWELL OU EQUIVALENTE</t>
  </si>
  <si>
    <t>2.4.2.9</t>
  </si>
  <si>
    <t>MAN-001</t>
  </si>
  <si>
    <t>MANÔMETRO INDUSTRIAL (PARA CHILLER) MODELO UN Ø= 86 MM, ROSCA, DIÂMETRO = 1/4", ELEMENTO ELÁSTICO TOMBAK, CAIXA EM AÇO, EXECUÇÃO A1, ESCALA = 0-2,5 KGF/CM2, COM GLICERINA . REF.: NIAGARA OU EQUIVALENTE</t>
  </si>
  <si>
    <t>2.4.2.10</t>
  </si>
  <si>
    <t>FEG-001</t>
  </si>
  <si>
    <t>TUBO EM AÇO SEM COSTURA, GALVANIZADO, EXTERMIDADE ROSQUEADA, NORMA ASTM-A53, DIÂMETRO = 1/4"</t>
  </si>
  <si>
    <t>2.4.2.11</t>
  </si>
  <si>
    <t>FEG-002</t>
  </si>
  <si>
    <t>TE EM FERRO GALVANIZADO, CONFORME NORMA NBR 6590, DIÂMETRO=1/4",  REF. TUPY OU EQUIVALENTE</t>
  </si>
  <si>
    <t>2.4.2.12</t>
  </si>
  <si>
    <t>FEG-003</t>
  </si>
  <si>
    <t>LUVA EM FERRO GALVANIZADO, CONFORME NORMA NBR 6590, DIÂMETRO=1/4",  REF. TUPY OU EQUIVALENTE</t>
  </si>
  <si>
    <t>2.4.2.13</t>
  </si>
  <si>
    <t>VAV-002</t>
  </si>
  <si>
    <t>VÁLVULA ESFERA SÉRIE MITE, EM LATÃO, ROSCA, NORMA ABNT NBR 6414, DIÂMETRO=1/4", PRESSÃO = 150 PSI. REF.: NIAGARA OU EQUIVALENTE</t>
  </si>
  <si>
    <t>2.4.2.17</t>
  </si>
  <si>
    <t>FEG-004</t>
  </si>
  <si>
    <t>JOELHO EM FERRO GALVANIZADO, CONFORME NORMA NBR 6590, DIÂMETRO=1/4",  REF. TUPY OU EQUIVALENTE</t>
  </si>
  <si>
    <t>2.4.3.1</t>
  </si>
  <si>
    <t>Tubos e isolantes</t>
  </si>
  <si>
    <t>2.4.3.1.1</t>
  </si>
  <si>
    <t>TAP-001</t>
  </si>
  <si>
    <t>TUBO DE AÇO CARBONO PRETO, SEM COSTURA, ASTM-A53, SCH 40 - DIÂMETRO = 10" COM ISOLAÇÃO TÉRMICA E SUPORTES</t>
  </si>
  <si>
    <t>2.4.3.1.2</t>
  </si>
  <si>
    <t>TAP-002</t>
  </si>
  <si>
    <t>TUBO DE AÇO CARBONO PRETO, SEM COSTURA, ASTM-A53, SCH 40 - DIÂMETRO = 8" COM ISOLAÇÃO TÉRMICA E SUPORTES</t>
  </si>
  <si>
    <t>2.4.3.1.3</t>
  </si>
  <si>
    <t>TAP-003</t>
  </si>
  <si>
    <t>TUBO DE AÇO CARBONO PRETO, SEM COSTURA, ASTM-A53, SCH 40 - DIÂMETRO = 6" COM ISOLAÇÃO TÉRMICA E SUPORTES</t>
  </si>
  <si>
    <t>2.4.3.1.4</t>
  </si>
  <si>
    <t>TAP-004</t>
  </si>
  <si>
    <t>TUBO DE AÇO CARBONO PRETO, SEM COSTURA, ASTM-A53, SCH 40 - DIÂMETRO = 5" COM ISOLAÇÃO TÉRMICA E SUPORTES</t>
  </si>
  <si>
    <t>2.4.3.1.5</t>
  </si>
  <si>
    <t>TAP-005</t>
  </si>
  <si>
    <t>TUBO DE AÇO CARBONO PRETO, SEM COSTURA, ASTM-A53, SCH 40 - DIÂMETRO = 4" COM ISOLAÇÃO TÉRMICA E SUPORTES</t>
  </si>
  <si>
    <t>2.4.3.1.6</t>
  </si>
  <si>
    <t>TAP-006</t>
  </si>
  <si>
    <t>TUBO DE AÇO CARBONO PRETO, SEM COSTURA, ASTM-A53, SCH 40 - DIÂMETRO = 3" COM ISOLAÇÃO TÉRMICA E SUPORTES</t>
  </si>
  <si>
    <t>2.4.3.1.7</t>
  </si>
  <si>
    <t>TAP-007</t>
  </si>
  <si>
    <t>TUBO DE AÇO CARBONO GALVANIZADO, SEM COSTURA, ASTM-A53, SCH 40 - DIÂMETRO = 2" COM ISOLAÇÃO TÉRMICA E SUPORTES</t>
  </si>
  <si>
    <t>2.4.3.1.8</t>
  </si>
  <si>
    <t>TAP-008</t>
  </si>
  <si>
    <t>TUBO DE AÇO CARBONO GALVANIZADO, SEM COSTURA, ASTM-A53, SCH 40 - DIÂMETRO = 11/2" COM ISOLAÇÃO TÉRMICA E SUPORTES</t>
  </si>
  <si>
    <t>2.4.3.1.9</t>
  </si>
  <si>
    <t>TAP-009</t>
  </si>
  <si>
    <t>TUBO DE AÇO CARBONO GALVANIZADO, SEM COSTURA, ASTM-A53, SCH 40  - DIÂMETRO = 11/4" COM ISOLAÇÃO TÉRMICA E SUPORTES</t>
  </si>
  <si>
    <t>2.4.3.2</t>
  </si>
  <si>
    <t>Válvulas , Filtro Y e Juntas</t>
  </si>
  <si>
    <t>2.4.3.2.1</t>
  </si>
  <si>
    <t>VAV-003</t>
  </si>
  <si>
    <t>VÁLVULA GLOBO EM FERRO FUNDIDO, COM FLANGES, HASTE ASCENDENTE EXTERNA CLASSE 125, DIÂMETRO = 6".REF. NIAGARA OU EQUIVALENTE</t>
  </si>
  <si>
    <t>2.4.3.2.2</t>
  </si>
  <si>
    <t>VAV-004</t>
  </si>
  <si>
    <t>VÁLVULA GLOBO EM FERRO FUNDIDO, COM FLANGES, HASTE ASCENDENTE EXTERNA CLASSE 125, DIÂMETRO = 5". REF. NIAGARA OU EQUIVALENTE</t>
  </si>
  <si>
    <t>2.4.3.2.3</t>
  </si>
  <si>
    <t>VAV-005</t>
  </si>
  <si>
    <t>VÁLVULA GLOBO EM FERRO FUNDIDO, COM FLANGES, HASTE ASCENDENTE EXTERNA CLASSE 125, DIÂMETRO = 3". REF. NIAGARA OU EQUIVALENTE</t>
  </si>
  <si>
    <t>2.4.3.2.4</t>
  </si>
  <si>
    <t>VAV-006</t>
  </si>
  <si>
    <t>VÁLVULA GAVETA EM FERRO FUNDIDO, COM FLANGES, HASTE ASCENDENTE EXTERNA CLASSE 125, DIÂMETRO = 10". REF. NIAGARA OU EQUIVALENTE</t>
  </si>
  <si>
    <t>2.4.3.2.5</t>
  </si>
  <si>
    <t>VAV-007</t>
  </si>
  <si>
    <t>VÁLVULA GAVETA EM FERRO FUNDIDO, COM FLANGES, HASTE ASCENDENTE EXTERNA CLASSE 125, DIÂMETRO = 8". REF. NIAGARA OU EQUIVALENTE</t>
  </si>
  <si>
    <t>2.4.3.2.6</t>
  </si>
  <si>
    <t>VAV-008</t>
  </si>
  <si>
    <t>VÁLVULA GAVETA EM FERRO FUNDIDO, COM FLANGES, HASTE ASCENDENTE EXTERNA CLASSE 125, DIÂMETRO = 6". REF. NIAGARA OU EQUIVALENTE</t>
  </si>
  <si>
    <t>2.4.3.2.7</t>
  </si>
  <si>
    <t>VAV-009</t>
  </si>
  <si>
    <t>VÁLVULA GAVETA EM FERRO FUNDIDO, COM FLANGES, HASTE ASCENDENTE EXTERNA CLASSE 125, DIÂMETRO = 5". REF. NIAGARA OU EQUIVALENTE</t>
  </si>
  <si>
    <t>2.4.3.2.8</t>
  </si>
  <si>
    <t>VAV-010</t>
  </si>
  <si>
    <t>VÁLVULA GAVETA EM FERRO FUNDIDO, COM FLANGES, HASTE ASCENDENTE EXTERNA CLASSE 125, DIÂMETRO = 4". REF. NIAGARA OU EQUIVALENTE</t>
  </si>
  <si>
    <t>2.4.3.2.9</t>
  </si>
  <si>
    <t>VAV-011</t>
  </si>
  <si>
    <t>VÁLVULA GAVETA EM FERRO FUNDIDO, COM FLANGES, HASTE ASCENDENTE EXTERNA CLASSE 125, DIÂMETRO = 3". REF. NIAGARA OU EQUIVALENTE</t>
  </si>
  <si>
    <t>2.4.3.2.10</t>
  </si>
  <si>
    <t>VAV-012</t>
  </si>
  <si>
    <t>VÁLVULA GAVETA EM BRONZE, COM ROSCA ABNT-NBR-6414, HASTE ASCENDENTE INTERNA,  CLASSE 150 - DIÂMETRO = 2". REF. NIAGARA OU EQUIVALENTE</t>
  </si>
  <si>
    <t>2.4.3.2.11</t>
  </si>
  <si>
    <t>VAV-013</t>
  </si>
  <si>
    <t>VÁLVULA GAVETA EM BRONZE, COM ROSCA ABNT-NBR-6414, HASTE ASCENDENTE INTERNA,  CLASSE 150 - DIÂMETRO = 11/4". REF. NIAGARA OU EQUIVALENTE</t>
  </si>
  <si>
    <t>2.4.3.2.12</t>
  </si>
  <si>
    <t>VAV-014</t>
  </si>
  <si>
    <t>VÁLVULA DE RETENÇÃO EM AÇO FUNDIDO, COM FLANGES, COM PORTINHOLA CLASSE 150, DIÂMETRO =6".  REF. NIAGARA OU EQUIVALENTE</t>
  </si>
  <si>
    <t>2.4.3.2.13</t>
  </si>
  <si>
    <t>VAV-015</t>
  </si>
  <si>
    <t>VÁLVULA DE RETENÇÃO EM AÇO FUNDIDO, COM FLANGES, COM PORTINHOLA CLASSE 150, DIÂMETRO =5". REF. NIAGARA OU EQUIVALENTE</t>
  </si>
  <si>
    <t>2.4.3.2.14</t>
  </si>
  <si>
    <t>ED-50357</t>
  </si>
  <si>
    <t>VÁLVULA DE RETENÇÃO EM AÇO FUNDIDO, COM FLANGES, COM PORTINHOLA CLASSE 150, DIÂMETRO =3". REF. NIAGARA OU EQUIVALENTE</t>
  </si>
  <si>
    <t>2.4.3.2.15</t>
  </si>
  <si>
    <t>FTR-001</t>
  </si>
  <si>
    <t>FILTRO EM Y EM FERRO FUNDIDO, COM FLANGES, COM ELEMENTO FILTRANTE EM AÇO INOXIDÁVEL E PERFURAÇÃO =1/32" - CLASSE 150, DIÂMETRO = 6". REF. NIAGARA OU EQUIVALENTE</t>
  </si>
  <si>
    <t>2.4.3.2.16</t>
  </si>
  <si>
    <t>FTR-002</t>
  </si>
  <si>
    <t>FILTRO EM Y EM FERRO FUNDIDO, COM FLANGES, COM ELEMENTO FILTRANTE EM AÇO INOXIDÁVEL E PERFURAÇÃO =1/32" - CLASSE 150, DIÂMETRO = 5" REF. NIAGARA OU EQUIVALENTE</t>
  </si>
  <si>
    <t>2.4.3.2.17</t>
  </si>
  <si>
    <t>FTR-003</t>
  </si>
  <si>
    <t>FILTRO EM Y EM FERRO FUNDIDO, COM FLANGES, COM ELEMENTO FILTRANTE EM AÇO INOXIDÁVEL E PERFURAÇÃO =1/32" - CLASSE 150, DIÂMETRO = 3". REF. NIAGARA OU EQUIVALENTE</t>
  </si>
  <si>
    <t>2.4.3.2.18</t>
  </si>
  <si>
    <t>FLG-001</t>
  </si>
  <si>
    <t>FLANGE DE AÇO PARA SOLDA COM PESCOÇO, FACEAMENTO COM RESALTO, CLASSE 150, PADRÃO ANSI-16.5 - NORMA ASTM-A105 - DIÂMETRO = 10". REF. NIAGARA OU EQUIVALENTE</t>
  </si>
  <si>
    <t>2.4.3.2.19</t>
  </si>
  <si>
    <t>FLG-002</t>
  </si>
  <si>
    <t>FLANGE DE AÇO PARA SOLDA COM PESCOÇO, FACEAMENTO COM RESALTO, CLASSE 150, PADRÃO ANSI-16.5 - NORMA ASTM-A105 - DIÂMETRO = 8". REF. NIAGARA OU EQUIVALENTE</t>
  </si>
  <si>
    <t>2.4.3.2.20</t>
  </si>
  <si>
    <t>FLG-003</t>
  </si>
  <si>
    <t>FLANGE DE AÇO PARA SOLDA COM PESCOÇO, FACEAMENTO COM RESALTO, CLASSE 150, PADRÃO ANSI-16.5 - NORMA ASTM-A105 - DIÂMETRO = 6". REF. NIAGARA OU EQUIVALENTE</t>
  </si>
  <si>
    <t>2.4.3.2.21</t>
  </si>
  <si>
    <t>FLG-004</t>
  </si>
  <si>
    <t>FLANGE DE AÇO PARA SOLDA COM PESCOÇO, FACEAMENTO COM RESALTO, CLASSE 150, PADRÃO ANSI-16.5 - NORMA ASTM-A105 - DIÂMETRO = 5". REF. NIAGARA OU EQUIVALENTE</t>
  </si>
  <si>
    <t>2.4.3.2.22</t>
  </si>
  <si>
    <t>FLG-005</t>
  </si>
  <si>
    <t>FLANGE DE AÇO PARA SOLDA COM PESCOÇO, FACEAMENTO COM RESALTO, CLASSE 150, PADRÃO ANSI-16.5 - NORMA ASTM-A105 - DIÂMETRO = 4". REF. NIAGARA OU EQUIVALENTE</t>
  </si>
  <si>
    <t>2.4.3.2.23</t>
  </si>
  <si>
    <t>FLG-006</t>
  </si>
  <si>
    <t>FLANGE DE AÇO PARA SOLDA COM PESCOÇO, FACEAMENTO COM RESALTO, CLASSE 150, PADRÃO ANSI-16.5 - NORMA ASTM-A105 - DIÂMETRO = 3". REF. NIAGARA OU EQUIVALENTE</t>
  </si>
  <si>
    <t>2.4.3.2.24</t>
  </si>
  <si>
    <t>FLG-007</t>
  </si>
  <si>
    <t>FLANGE DE AÇO PARA SOLDA COM PESCOÇO, FACEAMENTO COM RESALTO, CLASSE 150, PADRÃO ANSI-16.5 - NORMA ASTM-A105 - DIÂMETRO = 2". REF. NIAGARA OU EQUIVALENTE</t>
  </si>
  <si>
    <t>2.4.3.2.25</t>
  </si>
  <si>
    <t>JNT-001</t>
  </si>
  <si>
    <t>JUNTA DE EXPANSÃO EM BORRACHA, MODELO JEBAT-CLASSE 150, CORPO EM EPDM, FLANGES ANSI 16.5, COMPRIMENTO = 220  MM, PRESSÃO ADMISSÍVEL = 225 PSI DIÂMETRO = 5". REF. DINATÉCNICA OU EQUIVALENTE</t>
  </si>
  <si>
    <t>2.4.3.2.26</t>
  </si>
  <si>
    <t>JNT-002</t>
  </si>
  <si>
    <t>JUNTA DE EXPANSÃO EM BORRACHA, MODELO JEBAT-CLASSE 150, CORPO EM EPDM, FLANGES ANSI 16.5, COMPRIMENTO = 220  MM, PRESSÃO ADMISSÍVEL = 225 PSI DIÂMETRO = 4". REF. DINATÉCNICA OU EQUIVALENTE</t>
  </si>
  <si>
    <t>2.4.3.2.27</t>
  </si>
  <si>
    <t>JNT-003</t>
  </si>
  <si>
    <t>JUNTA DE EXPANSÃO EM BORRACHA, MODELO JEBAT-CLASSE 150, CORPO EM EPDM, FLANGES ANSI 16.5, COMPRIMENTO = 220  MM, PRESSÃO ADMISSÍVEL = 225 PSI DIÂMETRO = 3". REF. DINATÉCNICA OU EQUIVALENTE</t>
  </si>
  <si>
    <t>2.4.3.2.28</t>
  </si>
  <si>
    <t>JNT-004</t>
  </si>
  <si>
    <t>JUNTA DE EXPANSÃO EM BORRACHA, MODELO JEBAT-CLASSE 150, CORPO EM EPDM, FLANGES ANSI 16.5, COMPRIMENTO = 220  MM, PRESSÃO ADMISSÍVEL = 225 PSI DIÂMETRO = 2". REF. DINATÉCNICA OU EQUIVALENTE</t>
  </si>
  <si>
    <t>2.4.3.2.29</t>
  </si>
  <si>
    <t>JNT-005</t>
  </si>
  <si>
    <t>JUNTA PARA FLANGE, PADRÃO ANSI 16.2, EM PAPELÃO HIDRÁULICO, FLANGE DIÂMETRO = 10", ESPESSURA = 1,6 MM</t>
  </si>
  <si>
    <t>2.4.3.2.30</t>
  </si>
  <si>
    <t>JNT-006</t>
  </si>
  <si>
    <t>JUNTA PARA FLANGE, PADRÃO ANSI 16.2, EM PAPELÃO HIDRÁULICO, FLANGE DIÂMETRO = 8", ESPESSURA = 1,6 MM</t>
  </si>
  <si>
    <t>2.4.3.2.31</t>
  </si>
  <si>
    <t>JNT-007</t>
  </si>
  <si>
    <t>JUNTA PARA FLANGE, PADRÃO ANSI 16.2, EM PAPELÃO HIDRÁULICO, FLANGE DIÂMETRO = 6", ESPESSURA = 1,6 MM</t>
  </si>
  <si>
    <t>2.4.3.2.32</t>
  </si>
  <si>
    <t>JNT-008</t>
  </si>
  <si>
    <t>JUNTA PARA FLANGE, PADRÃO ANSI 16.2, EM PAPELÃO HIDRÁULICO, FLANGE DIÂMETRO = 5", ESPESSURA = 1,6 MM</t>
  </si>
  <si>
    <t>2.4.3.2.33</t>
  </si>
  <si>
    <t>JNT-009</t>
  </si>
  <si>
    <t>JUNTA PARA FLANGE, PADRÃO ANSI 16.2, EM PAPELÃO HIDRÁULICO, FLANGE DIÂMETRO = 4", ESPESSURA = 1,6 MM</t>
  </si>
  <si>
    <t>2.4.3.2.34</t>
  </si>
  <si>
    <t>JNT-010</t>
  </si>
  <si>
    <t>JUNTA PARA FLANGE, PADRÃO ANSI 16.2, EM PAPELÃO HIDRÁULICO, FLANGE DIÂMETRO = 3", ESPESSURA = 1,6 MM</t>
  </si>
  <si>
    <t>2.4.3.2.35</t>
  </si>
  <si>
    <t>JNT-011</t>
  </si>
  <si>
    <t>JUNTA PARA FLANGE, PADRÃO ANSI 16.2, EM PAPELÃO HIDRÁULICO, FLANGE DIÂMETRO = 2", ESPESSURA = 1,6 MM</t>
  </si>
  <si>
    <t>2.4.3.2.36</t>
  </si>
  <si>
    <t>PRF-001</t>
  </si>
  <si>
    <t>PARAFUSO (TIRANTE) ESTOJO E PORCA SEXTAVADO ROSCA UNC, PARA FLANGE PADRÃO ANSI 16.5, Ø = 10". DIÂMETRO = 7/8" X 4 3/4"</t>
  </si>
  <si>
    <t>2.4.3.2.37</t>
  </si>
  <si>
    <t>PRF-002</t>
  </si>
  <si>
    <t>PARAFUSO (TIRANTE) ESTOJO E PORCA SEXTAVADO ROSCA UNC, PARA FLANGE PADRÃO ANSI 16.5, Ø = 8". DIÂMETRO = 3/4" X 4 1/4"</t>
  </si>
  <si>
    <t>2.4.3.2.38</t>
  </si>
  <si>
    <t>PRF-003</t>
  </si>
  <si>
    <t>PARAFUSO (TIRANTE) ESTOJO E PORCA SEXTAVADO ROSCA UNC, PARA FLANGE PADRÃO ANSI 16.5, Ø = 6". DIÂMETRO = 3/4" X 4"</t>
  </si>
  <si>
    <t>2.4.3.2.39</t>
  </si>
  <si>
    <t>PRF-004</t>
  </si>
  <si>
    <t>PARAFUSO (TIRANTE) ESTOJO E PORCA SEXTAVADO ROSCA UNC, PARA FLANGE PADRÃO ANSI 16.5, Ø = 5". DIÂMETRO = 3/4" X 4"</t>
  </si>
  <si>
    <t>2.4.3.2.40</t>
  </si>
  <si>
    <t>PRF-005</t>
  </si>
  <si>
    <t>PARAFUSO (TIRANTE) ESTOJO E PORCA SEXTAVADO ROSCA UNC, PARA FLANGE PADRÃO ANSI 16.5, Ø = 4". DIÂMETRO = 5/8" X 3 3/4"</t>
  </si>
  <si>
    <t>2.4.3.2.41</t>
  </si>
  <si>
    <t>PRF-006</t>
  </si>
  <si>
    <t>PARAFUSO (TIRANTE) ESTOJO E PORCA SEXTAVADO ROSCA UNC, PARA FLANGE PADRÃO ANSI 16.5, Ø = 3". DIÂMETRO = 5/8" X 3 3/4"</t>
  </si>
  <si>
    <t>2.4.3.2.42</t>
  </si>
  <si>
    <t>PRF-007</t>
  </si>
  <si>
    <t>PARAFUSO (TIRANTE) ESTOJO E PORCA SEXTAVADO ROSCA UNC, PARA FLANGE PADRÃO ANSI 16.5, Ø = 2". DIÂMETRO = 5/8" X 3 1/4"</t>
  </si>
  <si>
    <t>2.4.3.2.43</t>
  </si>
  <si>
    <t>JNT-012</t>
  </si>
  <si>
    <t>JUNTA VICTAULIC EM AÇO CARBONO ASTM A-536, COM GAXETA EM EPDM E PARAFUSOS DE FIXAÇÃO, Ø = 5". REF.: ALVENIUS OU EQUIVALENTE</t>
  </si>
  <si>
    <t>2.4.3.2.44</t>
  </si>
  <si>
    <t>JNT-013</t>
  </si>
  <si>
    <t>JUNTA VICTAULIC EM AÇO CARBONO ASTM A-536, COM GAXETA EM EPDM E PARAFUSOS DE FIXAÇÃO, Ø = 4". REF.: ALVENIUS OU EQUIVALENTE</t>
  </si>
  <si>
    <t>2.4.3.3</t>
  </si>
  <si>
    <t xml:space="preserve">Conexões </t>
  </si>
  <si>
    <t>2.4.3.3.1</t>
  </si>
  <si>
    <t>FEG-005</t>
  </si>
  <si>
    <t xml:space="preserve">CURVA EM 90º EM AÇO CARBONO PRETO, SEM COSTURA, COM EXTREMIDADES BISELADAS PARA SOLDA ASTM - A120 , SCH 40  - DIÂMETRO = 8" </t>
  </si>
  <si>
    <t>2.4.3.3.2</t>
  </si>
  <si>
    <t>FEG-006</t>
  </si>
  <si>
    <t xml:space="preserve">CURVA EM 90º EM AÇO CARBONO PRETO, SEM COSTURA, COM EXTREMIDADES BISELADAS PARA SOLDA ASTM - A120 , SCH 40  - DIÂMETRO = 6" </t>
  </si>
  <si>
    <t>2.4.3.3.3</t>
  </si>
  <si>
    <t>FEG-007</t>
  </si>
  <si>
    <t xml:space="preserve">CURVA EM 90º EM AÇO CARBONO PRETO, SEM COSTURA, COM EXTREMIDADES BISELADAS PARA SOLDA ASTM - A120 , SCH 40  - DIÂMETRO = 5" </t>
  </si>
  <si>
    <t>2.4.3.3.4</t>
  </si>
  <si>
    <t>FEG-008</t>
  </si>
  <si>
    <t xml:space="preserve">CURVA EM 90º EM AÇO CARBONO PRETO, SEM COSTURA, COM EXTREMIDADES BISELADAS PARA SOLDA ASTM - A120 , SCH 40  - DIÂMETRO = 4" </t>
  </si>
  <si>
    <t>2.4.3.3.5</t>
  </si>
  <si>
    <t xml:space="preserve">CURVA EM 90º EM AÇO CARBONO PRETO, SEM COSTURA, COM EXTREMIDADES BISELADAS PARA SOLDA ASTM - A120 , SCH 40  - DIÂMETRO = 3" </t>
  </si>
  <si>
    <t>2.4.3.3.6</t>
  </si>
  <si>
    <t>FEG-009</t>
  </si>
  <si>
    <t xml:space="preserve">CURVA EM 45º EM AÇO CARBONO PRETO, SEM COSTURA, COM EXTREMIDADES BISELADAS PARA SOLDA ASTM - A120 , SCH 40  - DIÂMETRO = 8" </t>
  </si>
  <si>
    <t>2.4.3.3.7</t>
  </si>
  <si>
    <t>FEG-010</t>
  </si>
  <si>
    <t xml:space="preserve">CURVA EM 45º EM AÇO CARBONO PRETO, SEM COSTURA, COM EXTREMIDADES BISELADAS PARA SOLDA ASTM - A120 , SCH 40  - DIÂMETRO = 5" </t>
  </si>
  <si>
    <t>2.4.3.3.8</t>
  </si>
  <si>
    <t xml:space="preserve">CURVA EM 45º EM AÇO CARBONO PRETO, SEM COSTURA, COM EXTREMIDADES BISELADAS PARA SOLDA ASTM - A120 , SCH 40  - DIÂMETRO = 3" </t>
  </si>
  <si>
    <t>2.4.3.3.9</t>
  </si>
  <si>
    <t>FEG-011</t>
  </si>
  <si>
    <t>REDUÇÃO  EM AÇO CARBONO PRETO, SEM COSTURA, COM EXTREMIDADES BISELADAS PARA SOLDA ASTM - A120 , SCH 40  - DIÂMETRO = 10"X8"</t>
  </si>
  <si>
    <t>2.4.3.3.10</t>
  </si>
  <si>
    <t>FEG-012</t>
  </si>
  <si>
    <t>REDUÇÃO  EM AÇO CARBONO PRETO, SEM COSTURA, COM EXTREMIDADES BISELADAS PARA SOLDA ASTM - A120 , SCH 40  - DIÂMETRO = 8"X6"</t>
  </si>
  <si>
    <t>2.4.3.3.11</t>
  </si>
  <si>
    <t>FEG-013</t>
  </si>
  <si>
    <t>REDUÇÃO  EM AÇO CARBONO PRETO, SEM COSTURA, COM EXTREMIDADES BISELADAS PARA SOLDA ASTM - A120 , SCH 40  - DIÂMETRO = 8"X4"</t>
  </si>
  <si>
    <t>2.4.3.3.12</t>
  </si>
  <si>
    <t>FEG-014</t>
  </si>
  <si>
    <t>REDUÇÃO  EM AÇO CARBONO PRETO, SEM COSTURA, COM EXTREMIDADES BISELADAS PARA SOLDA ASTM - A120 , SCH 40  - DIÂMETRO = 5"X3"</t>
  </si>
  <si>
    <t>2.4.3.3.13</t>
  </si>
  <si>
    <t>FEG-015</t>
  </si>
  <si>
    <t>REDUÇÃO  EM AÇO CARBONO PRETO, SEM COSTURA, COM EXTREMIDADES BISELADAS PARA SOLDA ASTM - A120 , SCH 40  - DIÂMETRO = 3"X2"</t>
  </si>
  <si>
    <t>2.4.3.3.14</t>
  </si>
  <si>
    <t>FEG-016</t>
  </si>
  <si>
    <t>REDUÇÃO  EXCENTRICA EM AÇO CARBONO PRETO, SEM COSTURA, COM EXTREMIDADES BISELADAS PARA SOLDA ASTM - A120 , SCH 40  - DIÂMETRO = 10"X5"</t>
  </si>
  <si>
    <t>2.4.3.3.15</t>
  </si>
  <si>
    <t>FEG-017</t>
  </si>
  <si>
    <t>REDUÇÃO  EXCENTRICA EM AÇO CARBONO PRETO, SEM COSTURA, COM EXTREMIDADES BISELADAS PARA SOLDA ASTM - A120 , SCH 40  - DIÂMETRO = 8"X5"</t>
  </si>
  <si>
    <t>2.4.3.3.16</t>
  </si>
  <si>
    <t>FEG-018</t>
  </si>
  <si>
    <t>REDUÇÃO  EXCENTRICA EM AÇO CARBONO PRETO, SEM COSTURA, COM EXTREMIDADES BISELADAS PARA SOLDA ASTM - A120 , SCH 40  - DIÂMETRO = 4"X3"</t>
  </si>
  <si>
    <t>2.4.3.3.17</t>
  </si>
  <si>
    <t>FEG-019</t>
  </si>
  <si>
    <t>REDUÇÃO  EXCENTRICA AÇO CARBONO PRETO, SEM COSTURA, COM EXTREMIDADES BISELADAS PARA SOLDA ASTM - A120 , SCH 40  - DIÂMETRO = 6"X4"</t>
  </si>
  <si>
    <t>2.4.3.3.18</t>
  </si>
  <si>
    <t>FEG-020</t>
  </si>
  <si>
    <t>REDUÇÃO  EM AÇO CARBONO PRETO, SEM COSTURA, COM EXTREMIDADES BISELADAS PARA SOLDA ASTM - A120 , SCH 40  - DIÂMETRO = 5"X4"</t>
  </si>
  <si>
    <t>2.4.3.3.19</t>
  </si>
  <si>
    <t>FEG-021</t>
  </si>
  <si>
    <t>REDUÇÃO  EXCENTRICA AÇO CARBONO PRETO, SEM COSTURA, COM EXTREMIDADES BISELADAS PARA SOLDA ASTM - A120 , SCH 40  - DIÂMETRO = 4"X3"</t>
  </si>
  <si>
    <t>2.4.3.3.20</t>
  </si>
  <si>
    <t>FEG-022</t>
  </si>
  <si>
    <t>REDUÇÃO  EXCENTRICA AÇO CARBONO PRETO, SEM COSTURA, COM EXTREMIDADES BISELADAS PARA SOLDA ASTM - A120 , SCH 40  - DIÂMETRO = 4"X21/2"</t>
  </si>
  <si>
    <t>2.4.3.3.21</t>
  </si>
  <si>
    <t>FEG-023</t>
  </si>
  <si>
    <t>TE COM REDUÇÃO EM AÇO CARBONO PRETO, SEM COSTURA, COM EXTREMIDADES BISELADAS PARA SOLDA ASTM - A120 , SCH 40  - DIÂMETRO = 8"X5"</t>
  </si>
  <si>
    <t>2.4.3.3.22</t>
  </si>
  <si>
    <t>FEG-024</t>
  </si>
  <si>
    <t>TE COM REDUÇÃO EM AÇO CARBONO PRETO, SEM COSTURA, COM EXTREMIDADES BISELADAS PARA SOLDA ASTM - A120 , SCH 40  - DIÂMETRO = 8"X4"</t>
  </si>
  <si>
    <t>2.4.3.3.23</t>
  </si>
  <si>
    <t>FEG-025</t>
  </si>
  <si>
    <t>TE COM REDUÇÃO EM AÇO CARBONO PRETO, SEM COSTURA, COM EXTREMIDADES BISELADAS PARA SOLDA ASTM - A120 , SCH 40  - DIÂMETRO = 8"X3"</t>
  </si>
  <si>
    <t>2.4.3.3.24</t>
  </si>
  <si>
    <t>FEG-026</t>
  </si>
  <si>
    <t xml:space="preserve">TE EM AÇO CARBONO PRETO, SEM COSTURA, COM EXTREMIDADES BISELADAS PARA SOLDA ASTM - A120 , SCH 40  - DIÂMETRO = 10" </t>
  </si>
  <si>
    <t>2.4.3.3.25</t>
  </si>
  <si>
    <t>FEG-027</t>
  </si>
  <si>
    <t xml:space="preserve">TE EM AÇO CARBONO PRETO, SEM COSTURA, COM EXTREMIDADES BISELADAS PARA SOLDA ASTM - A120 , SCH 40  - DIÂMETRO = 8" </t>
  </si>
  <si>
    <t>2.4.3.3.26</t>
  </si>
  <si>
    <t>FEG-028</t>
  </si>
  <si>
    <t xml:space="preserve">TE EM AÇO CARBONO PRETO, SEM COSTURA, COM EXTREMIDADES BISELADAS PARA SOLDA ASTM - A120 , SCH 40  - DIÂMETRO = 5" </t>
  </si>
  <si>
    <t>2.4.3.3.27</t>
  </si>
  <si>
    <t xml:space="preserve">TE EM AÇO CARBONO PRETO, SEM COSTURA, COM EXTREMIDADES BISELADAS PARA SOLDA ASTM - A120 , SCH 40  - DIÂMETRO = 3" </t>
  </si>
  <si>
    <t>2.4.3.3.28</t>
  </si>
  <si>
    <t>FEG-029</t>
  </si>
  <si>
    <t>TE COM REDUÇÃO EM FERRO MALEÁVEL, NORMA ABNT-6414, GALVANIZADA , ROSQUEADA - DIÂMETRO = 11/2"X11/4"</t>
  </si>
  <si>
    <t>2.4.3.3.29</t>
  </si>
  <si>
    <t>FEG-030</t>
  </si>
  <si>
    <t xml:space="preserve">CURVA EM 90º EM FERRO MALEÁVEL, NORMA ABNT-6414, GALVANIZADA , ROSQUEADA - DIÂMETRO = 21/2" </t>
  </si>
  <si>
    <t>2.4.3.3.30</t>
  </si>
  <si>
    <t>FEG-031</t>
  </si>
  <si>
    <t xml:space="preserve">CURVA EM 90º EM FERRO MALEÁVEL, NORMA ABNT-6414, GALVANIZADA , ROSQUEADA - DIÂMETRO = 2" </t>
  </si>
  <si>
    <t>2.4.3.3.31</t>
  </si>
  <si>
    <t>FEG-032</t>
  </si>
  <si>
    <t xml:space="preserve">CURVA EM 90º EM FERRO MALEÁVEL, NORMA ABNT-6414, GALVANIZADA , ROSQUEADA - DIÂMETRO = 11/2" </t>
  </si>
  <si>
    <t>2.4.3.3.32</t>
  </si>
  <si>
    <t>FEG-033</t>
  </si>
  <si>
    <t xml:space="preserve">CURVA EM 90º EM FERRO MALEÁVEL, NORMA ABNT-6414, GALVANIZADA , ROSQUEADA - DIÂMETRO = 11/4" </t>
  </si>
  <si>
    <t>2.4.3.3.33</t>
  </si>
  <si>
    <t>FEG-034</t>
  </si>
  <si>
    <t xml:space="preserve">CURVA EM 45º EM FERRO MALEÁVEL, NORMA ABNT-6414, GALVANIZADA , ROSQUEADA - DIÂMETRO = 2" </t>
  </si>
  <si>
    <t>2.4.3.3.34</t>
  </si>
  <si>
    <t>LUVA DE REDUÇÃO EM FERRO MALEÁVEL, NORMA ABNT-6414, GALVANIZADA , ROSQUEADA - DIÂMETRO = 11/2"X11/4"</t>
  </si>
  <si>
    <t>2.4.3.3.35</t>
  </si>
  <si>
    <t>UNIÃO EM FERRO MALEÁVEL COM ASSENTO CONICO EM BRONZE, NORMA ABNT - 6614 ,GALVANIZADA, ROSQUEADA - DIÂMETRO = 2"</t>
  </si>
  <si>
    <t>2.4.3.3.36</t>
  </si>
  <si>
    <t>UNIÃO EM FERRO MALEÁVEL COM ASSENTO CONICO EM BRONZE, NORMA ABNT - 6614 ,GALVANIZADA, ROSQUEADA - DIÂMETRO = 11/4"</t>
  </si>
  <si>
    <t>2.4.3.4</t>
  </si>
  <si>
    <t>Válvula Controle e Balanceamento Água Gelada</t>
  </si>
  <si>
    <t>2.4.3.4.1</t>
  </si>
  <si>
    <t>CCT-001</t>
  </si>
  <si>
    <t>CONJUNTO PARA CONTROLE DE TEMPERATURA COMPOSTO DE: -VÁLVULA ESFERA DE DUAS VIAS MODELO B249-CCV - Ø = 2", CV=46 -ATUADOR AÇÃO PROPORCIONAL MODELO ARX24-MFT '-TERMOSTATO COM SENSOR DE TEMPERATURA PARA DUTO -TRANSFORMADOR DE TENSÃO 220/24VCA.REF.: BELIMO OU EQUIVALENTE</t>
  </si>
  <si>
    <t>2.4.3.4.2</t>
  </si>
  <si>
    <t>CCT-002</t>
  </si>
  <si>
    <t>CONJUNTO PARA CONTROLE DE TEMPERATURA COMPOSTO DE: -VÁLVULA ESFERA DE DUAS VIAS MODELO B232-CCV - Ø = 11/4", CV=37 -ATUADOR AÇÃO PROPORCIONAL MODELO LRX24-MFT '-TERMOSTATO COM SENSOR DE TEMPERATURA PARA DUTO -TRANSFORMADOR DE TENSÃO 220/24VCA. REF.: BELIMO OU EQUIVALENTE</t>
  </si>
  <si>
    <t>2.4.3.4.3</t>
  </si>
  <si>
    <t>CCT-003</t>
  </si>
  <si>
    <t>CONJUNTO PARA CONTROLE DE TEMPERATURA COMPOSTO DE: -VÁLVULA ESFERA DE DUAS VIAS MODELO B223-CCV - Ø = 1", CV=10 -ATUADOR AÇÃO PROPORCIONAL MODELO LRX24-MFT '-TERMOSTATO COM SENSOR DE TEMPERATURA PARA DUTO -TRANSFORMADOR DE TENSÃO 220/24VCA. REF.: BELIMO OU EQUIVALENTE</t>
  </si>
  <si>
    <t>2.4.3.4.4</t>
  </si>
  <si>
    <t>VAV-020</t>
  </si>
  <si>
    <t>VÁLVULA PARA BALANCEAMENTO E BLOQUEIO MODELO STAD Ø=2", REF.:TOUR ANDERSON OU EQUIVALENTE</t>
  </si>
  <si>
    <t>2.4.3.4.5</t>
  </si>
  <si>
    <t>VAV-021</t>
  </si>
  <si>
    <t>VÁLVULA PARA BALANCEAMENTO E BLOQUEIO MODELO STAD Ø=11/4", REF.:TOUR ANDERSON OU EQUIVALENTE</t>
  </si>
  <si>
    <t>2.4.3.4.6</t>
  </si>
  <si>
    <t>VAV-022</t>
  </si>
  <si>
    <t>VÁLVULA PARA BALANCEAMENTO E BLOQUEIO MODELO STAD Ø=60", REF.:TOUR ANDERSON OU EQUIVALENTE</t>
  </si>
  <si>
    <t>2.4.3.4.7</t>
  </si>
  <si>
    <t>VAV-023</t>
  </si>
  <si>
    <t>VÁLVULA PARA BALANCEAMENTO E BLOQUEIO MODELO STAD Ø=32", REF.:TOUR ANDERSON OU EQUIVALENTE</t>
  </si>
  <si>
    <t>2.4.3.4.8</t>
  </si>
  <si>
    <t>VAV-024</t>
  </si>
  <si>
    <t>2.4.3.5</t>
  </si>
  <si>
    <t xml:space="preserve">Tanque de Expansão </t>
  </si>
  <si>
    <t>2.4.3.5.1</t>
  </si>
  <si>
    <t>TQE-001</t>
  </si>
  <si>
    <t>TANQUE DE EXPANSÃO EM POLIETILENO DE MÉDIA DENSIDADE PEMD, VOLUME = 500 LITROS, COM TODAS AS VÁLVULAS E CONEXÕES, CONFORME DETALHE</t>
  </si>
  <si>
    <t>2.5.1.1</t>
  </si>
  <si>
    <t>PROJETO "AS BUILT" DE INSTALAÇÕES ELÉTRICAS, LÓGICA E TELEFONIA DA CAG</t>
  </si>
  <si>
    <t>2.5.1.2</t>
  </si>
  <si>
    <t>FIN-004</t>
  </si>
  <si>
    <t>PROJETO "AS BUILT" DE CLIMATIZAÇÃO DA CAG</t>
  </si>
  <si>
    <t>2.5.2.1</t>
  </si>
  <si>
    <t>FIN-010</t>
  </si>
  <si>
    <t>LIMPEZA FINAL DA OBRA DA CAG</t>
  </si>
  <si>
    <t>3.1.1.1</t>
  </si>
  <si>
    <t>ED-48500</t>
  </si>
  <si>
    <t>REMOÇÃO DE TUBULAÇÃO ELÉTRICA EXISTENTE</t>
  </si>
  <si>
    <t>3.1.1.2</t>
  </si>
  <si>
    <t>DEM-011</t>
  </si>
  <si>
    <t>REMOÇÃO DE DUTOS DE AR CONDICIONADO EXISTENTES</t>
  </si>
  <si>
    <t>3.1.1.3</t>
  </si>
  <si>
    <t>ED-48453</t>
  </si>
  <si>
    <t>REMOÇÃO DE DIVISÓRIAS</t>
  </si>
  <si>
    <t>3.1.1.4</t>
  </si>
  <si>
    <t>REMOÇÃO DE FORRO EXISTENTE</t>
  </si>
  <si>
    <t>3.1.1.5</t>
  </si>
  <si>
    <t>ED-28533</t>
  </si>
  <si>
    <t>ANDAIME EM CAVALETE METÁLICO PARA FORRO OU SERVIÇO EM ALTURA INTERNO, COM CHAPA DE COMPENSADO E TÁBUA, COM REAPROVEITAMENTO, INCLUSIVE MONTAGEM/DESMONTAGEM E REMANEJAMENTO</t>
  </si>
  <si>
    <t>3.1.2.1</t>
  </si>
  <si>
    <t>FORRO E DRYWALL</t>
  </si>
  <si>
    <t>3.2.1.1</t>
  </si>
  <si>
    <t>OBC-007</t>
  </si>
  <si>
    <t>FORRO DE GESSO ACARTONADO COM ACABAMENTO EM PINTURA LATEX COR BRANCA, ACABAMENTO FOSCO</t>
  </si>
  <si>
    <t>3.2.1.2</t>
  </si>
  <si>
    <t>OBC-008</t>
  </si>
  <si>
    <t>FORRO MODULAR EM PLACAS DE 625X625, COM PLACAS REMOVÍVEIS, EM FIBRA MINERAL, DESEMPENHO DE RESISTENCIA A UMIDADE COM PINTURA NA COR BRANCA. PERFIL DE BORDAS DO TIPO TEGULAR, COR BRANCA FIXADO COM PERFIL METÁLICO T15</t>
  </si>
  <si>
    <t>OBC-001</t>
  </si>
  <si>
    <t>ALVENARIA EM BLOCOS DE CONCRETO CELULAR COM 10CM DE ESPESSURA, INCLUINDO ACABAMENTO, EMBOÇO</t>
  </si>
  <si>
    <t>PAREDE EM DRYWALL PARA VEDAÇÃO DE ESQUADRIA EXISTENTE NA CASA DE MÁQUINAS</t>
  </si>
  <si>
    <t>3.2.1.3</t>
  </si>
  <si>
    <t>PORTA DE MADEIRA COM ACABAMENTO FORMICADO NA COR ARGILA, DIMENSÕES DE 2,10X0,90(M), INCLUSIVE MARCOS E ALIZARES</t>
  </si>
  <si>
    <t>3.2.1.4</t>
  </si>
  <si>
    <t>PORTA DE MADEIRA COM ACABAMENTO FORMICADO NA COR ARGILA, DIMENSÕES DE 2,10X0,90(M) PARA AMPLIAÇÃO DE VÃO, INCLUSIVE MARCOS E ALIZARES</t>
  </si>
  <si>
    <t>3.2.1.5</t>
  </si>
  <si>
    <t>OBC-002</t>
  </si>
  <si>
    <t>PORTA DE MADEIRA COM ACABAMENTO FORMICADO NA COR ARGILA, COM DIMENSÕES DE 2,10X1,0M, INCLUSIVE MARCOS E ALIZARES</t>
  </si>
  <si>
    <t>3.2.1.6</t>
  </si>
  <si>
    <t>OBC-003</t>
  </si>
  <si>
    <t>PORTA DE MADEIRA COM ACABAMENTO FORMICADO NA COR ARGILA, COM DIMENSÕES DE 2,10X1,4M, INCLUSIVE MARCOS E ALIZARES</t>
  </si>
  <si>
    <t>3.2.1.7</t>
  </si>
  <si>
    <t>OBC-004</t>
  </si>
  <si>
    <t>PORTA DE MADEIRA COM ACABAMENTO FORMICADO NA COR ARGILA, COM DIMENSÕES DE 2,10X1,8M, INCLUSIVE MARCOS E ALIZARES</t>
  </si>
  <si>
    <t>3.2.1.8</t>
  </si>
  <si>
    <t>OBC-005</t>
  </si>
  <si>
    <t>PORTA DE MADEIRA COM ACABAMENTO FORMICADO NA COR ARGILA, COM DIMENSÕES DE 2,10X2,0M, INCLUSIVE MARCOS E ALIZARES</t>
  </si>
  <si>
    <t>3.2.1.9</t>
  </si>
  <si>
    <t>PINTURA DE PAREDE E ALVENARIA NA COR BRANCO GELO</t>
  </si>
  <si>
    <t>3.2.1.10</t>
  </si>
  <si>
    <t>OBC-006</t>
  </si>
  <si>
    <t>CONSTRUÇÃO DE PISO CERÂMICO PARA CASA DE MÁQUINAS, INCLUSIVE REMOÇÃO DE CONTRA PISO, INSTALAÇÃO DE MANTA ASFALTICA, INSTALAÇÃO DE CONTRAPISO E PISO CERÂMICO</t>
  </si>
  <si>
    <t>3.2.1.11</t>
  </si>
  <si>
    <t>15.54.07</t>
  </si>
  <si>
    <t>SOLEIRA EM GRANITO CINZA POLIDO</t>
  </si>
  <si>
    <t>3.2.1.12</t>
  </si>
  <si>
    <t>ED-48209</t>
  </si>
  <si>
    <t>3.3.1.1</t>
  </si>
  <si>
    <t>TUBO SOLDÁVEL MARROM EM PVC Ø25MM</t>
  </si>
  <si>
    <t>3.3.1.2</t>
  </si>
  <si>
    <t>REGISTRO DE GAVETA, COM ACABAMENTO CROMADO, DIAMETRO Ø3/4"</t>
  </si>
  <si>
    <t>3.3.1.3</t>
  </si>
  <si>
    <t>ED-50329</t>
  </si>
  <si>
    <t>TORNEIRA DE PRESSÃO PARA USO GERAL, Ø1/2", ACABAMENTO CROMADO, DE USO GERAL, COM BICO DE UNIÃO</t>
  </si>
  <si>
    <t>3.3.1.4</t>
  </si>
  <si>
    <t>COTOVELO 90º, BOLSA X BOLSA, DIAMETRO Ø25MM</t>
  </si>
  <si>
    <t>3.3.1.5</t>
  </si>
  <si>
    <t>COTOVELO 45º, BOLSA X BOLSA, DIAMETRO Ø25MM</t>
  </si>
  <si>
    <t>3.3.1.6</t>
  </si>
  <si>
    <t>COTOVELO 90º, BOLSA X ROSCA, REFORÇADO COM BUCHA DE LATÃO, DIAMETROS 25MM X1/2"</t>
  </si>
  <si>
    <t>3.3.1.7</t>
  </si>
  <si>
    <t>ADAPTADOR SOLDA X ROSCA P/ REGISTRO, DIAMETRO 25MM X 3/4"</t>
  </si>
  <si>
    <t>3.3.1.8</t>
  </si>
  <si>
    <t>LUVA SOLDA X ROSCA, DIAMETRO 25MM X 3/4"</t>
  </si>
  <si>
    <t>3.3.1.9</t>
  </si>
  <si>
    <t>TUBO RÍGIDO, COM PONTA E BOLSA SOLDÁVEL PARA ESGOTO SECUNDÁRIO Ø40MM</t>
  </si>
  <si>
    <t>3.3.1.10</t>
  </si>
  <si>
    <t>JOELHO 45º, PARA ESGOTO SECUNDÁRIO, Ø40MM</t>
  </si>
  <si>
    <t>3.3.1.11</t>
  </si>
  <si>
    <t>JOELHO 90º, PARA ESGOTO SECUNDÁRIO, Ø40MM</t>
  </si>
  <si>
    <t>3.3.1.12</t>
  </si>
  <si>
    <t>HID-001</t>
  </si>
  <si>
    <t>JOELHO 90º, COM PONTA/BOLSA E ANEL, PARA ESGOTO SECUNDÁRIO Ø40MM X Ø1/2"</t>
  </si>
  <si>
    <t>3.3.1.13</t>
  </si>
  <si>
    <t>LUVA DUPLA, PARA ESGOTO PRIMÁRIO, DIAMETRO Ø50MM</t>
  </si>
  <si>
    <t>3.3.1.14</t>
  </si>
  <si>
    <t>ED-49952</t>
  </si>
  <si>
    <t>RALO SIFONADO, 100 X 40 MM, COM GRELHA METÁLICA, SAÍDA PELO FUNDO</t>
  </si>
  <si>
    <t>3.4.1.1</t>
  </si>
  <si>
    <t>ED-48951</t>
  </si>
  <si>
    <t>CABO DE COBRE FLEXÍVEL, CLASSE 5, ISOLAMENTO TIPO LSHF/ATOX, NÃO HALOGENADO, ANTICHAMA, TERMOPLÁSTICO, UNIPOLAR, SEÇÃO 2,5 MM2, 70°C, 450/750V</t>
  </si>
  <si>
    <t>3.4.1.2</t>
  </si>
  <si>
    <t>ED-48956</t>
  </si>
  <si>
    <t>CABO DE COBRE FLEXÍVEL, CLASSE 5, ISOLAMENTO TIPO LSHF/ATOX, NÃO HALOGENADO, ANTICHAMA, TERMOPLÁSTICO, UNIPOLAR, SEÇÃO 4 MM2, 70°C, 450/750V</t>
  </si>
  <si>
    <t>3.4.1.3</t>
  </si>
  <si>
    <t>ED-48992</t>
  </si>
  <si>
    <t>CABO DE COBRE FLEXÍVEL 4,0 MM², 0,6/1kV, ISOLAMENTO EM EPR, AUTO EXTINGUIVEL, NÃO PROPAGANTE DE CHAMA</t>
  </si>
  <si>
    <t>3.4.1.4</t>
  </si>
  <si>
    <t>CABO DE COBRE FLEXÍVEL 6,0 MM², 0,6/1kV, ISOLAMENTO EM EPR, AUTO EXTINGUIVEL, NÃO PROPAGANTE DE CHAMA</t>
  </si>
  <si>
    <t>3.4.1.5</t>
  </si>
  <si>
    <t>CABO DE COBRE FLEXÍVEL 10,0 MM², 0,6/1kV, ISOLAMENTO EM EPR, AUTO EXTINGUIVEL, NÃO PROPAGANTE DE CHAMA</t>
  </si>
  <si>
    <t>3.4.1.6</t>
  </si>
  <si>
    <t>CABO DE COBRE FLEXÍVEL 16,0 MM², 0,6/1kV, ISOLAMENTO EM EPR, AUTO EXTINGUIVEL, NÃO PROPAGANTE DE CHAMA</t>
  </si>
  <si>
    <t>3.4.1.7</t>
  </si>
  <si>
    <t>CABO DE COBRE FLEXÍVEL 25,0 MM², 0,6/1kV, ISOLAMENTO EM EPR, AUTO EXTINGUIVEL, NÃO PROPAGANTE DE CHAMA</t>
  </si>
  <si>
    <t>3.4.1.8</t>
  </si>
  <si>
    <t>ED-49010</t>
  </si>
  <si>
    <t>CABO DE COBRE FLEXÍVEL 50,0 MM², 0,6/1kV, ISOLAMENTO EM EPR, AUTO EXTINGUIVEL, NÃO PROPAGANTE DE CHAMA</t>
  </si>
  <si>
    <t>3.4.1.9</t>
  </si>
  <si>
    <t>CABO DE COBRE FLEXÍVEL 95,0 MM², 0,6/1kV, ISOLAMENTO EM EPR, AUTO EXTINGUIVEL, NÃO PROPAGANTE DE CHAMA</t>
  </si>
  <si>
    <t>3.4.1.10</t>
  </si>
  <si>
    <t>ED-49019</t>
  </si>
  <si>
    <t>CABO DE COBRE FLEXÍVEL 120,0 MM², 0,6/1kV, ISOLAMENTO EM EPR, AUTO EXTINGUIVEL, NÃO PROPAGANTE DE CHAMA</t>
  </si>
  <si>
    <t>3.4.1.11</t>
  </si>
  <si>
    <t>ED-49028</t>
  </si>
  <si>
    <t>CABO DE COBRE FLEXÍVEL 240,0 MM², 0,6/1kV, ISOLAMENTO EM EPR, AUTO EXTINGUIVEL, NÃO PROPAGANTE DE CHAMA</t>
  </si>
  <si>
    <t>3.4.1.12</t>
  </si>
  <si>
    <t>IEL-001</t>
  </si>
  <si>
    <t>PLUG MACHO 2P + T</t>
  </si>
  <si>
    <t>3.4.1.13</t>
  </si>
  <si>
    <t>3.4.1.14</t>
  </si>
  <si>
    <t>INTERRUPTOR BIPOLAR (1 MÓDULO), 10A/250V, SEM SUPORTE E SEM PLACA - FORNECIMENTO E INSTALAÇÃO</t>
  </si>
  <si>
    <t>3.4.1.15</t>
  </si>
  <si>
    <t>TOMADA BAIXA DE EMBUTIR (1 MÓDULO), 2P+T 10 A, SEM SUPORTE E SEM PLACA - FORNECIMENTO E INSTALAÇÃO</t>
  </si>
  <si>
    <t>3.4.1.16</t>
  </si>
  <si>
    <t>TOMADA MÉDIA DE EMBUTIR (1 MÓDULO), 2P+T 10 A, SEM SUPORTE E SEM PLACA - FORNECIMENTO E INSTALAÇÃO</t>
  </si>
  <si>
    <t>3.4.1.17</t>
  </si>
  <si>
    <t>TOMADA ALTA DE EMBUTIR (1 MÓDULO), 2P+T 10 A, SEM SUPORTE E SEM PLACA - FORNECIMENTO E INSTALAÇÃO</t>
  </si>
  <si>
    <t>UM</t>
  </si>
  <si>
    <t>3.4.1.18</t>
  </si>
  <si>
    <t>ED-15727</t>
  </si>
  <si>
    <t>MÓDULO TOMADA PADRÃO VERMELHA, USO ESPECÍFICO, TRÊS (3) POLOS, CORRENTE 20A, TENSÃO 250V, (2P+T/20A-250V), INCLUSIVE FORNECIMENTO E INSTALAÇÃO, EXCLUSIVE PLACA E SUPORTE</t>
  </si>
  <si>
    <t>3.4.1.19</t>
  </si>
  <si>
    <t>ED-5620</t>
  </si>
  <si>
    <t>PLACA 4"X2" PARA UM (1) MÓDULO, INCLUSIVE FORNECIMENTO E INSTALAÇÃO, EXCLUSIVE SUPORTE E MÓDULO</t>
  </si>
  <si>
    <t>3.4.1.20</t>
  </si>
  <si>
    <t>ED-5621</t>
  </si>
  <si>
    <t>PLACA 4"X2" PARA DOIS (2) MÓDULOS, INCLUSIVE FORNECIMENTO E INSTALAÇÃO, EXCLUSIVE SUPORTE E MÓDULO</t>
  </si>
  <si>
    <t>3.4.1.21</t>
  </si>
  <si>
    <t>ED-5624</t>
  </si>
  <si>
    <t>PLACA 4"X4" PARA QUATRO (4) MÓDULOS, INCLUSIVE FORNECIMENTO E INSTALAÇÃO, EXCLUSIVE SUPORTE E MÓDULO</t>
  </si>
  <si>
    <t>3.4.1.22</t>
  </si>
  <si>
    <t>IEL-006</t>
  </si>
  <si>
    <t>CONJUNTO DE PLACA 2X4" E 4"X4" PARA SEIS (6) MÓDULOS, INCLUSIVE FORNECIMENTO E INSTALAÇÃO, EXCLUSIVE SUPORTE E MÓDULO</t>
  </si>
  <si>
    <t>3.4.1.23</t>
  </si>
  <si>
    <t>CAIXA RETANGULAR 4" X 2" BAIXA (0,40 M DO PISO), PVC, INSTALADA EM PAREDE - FORNECIMENTO E INSTALAÇÃO</t>
  </si>
  <si>
    <t>3.4.1.24</t>
  </si>
  <si>
    <t>CAIXA RETANGULAR 4" X 2" MÉDIA (1,00 M DO PISO), PVC, INSTALADA EM PAREDE - FORNECIMENTO E INSTALAÇÃO</t>
  </si>
  <si>
    <t>3.4.1.25</t>
  </si>
  <si>
    <t>CAIXA RETANGULAR 4" X 2" ALTA (2,20 M DO PISO), PVC, INSTALADA EM PAREDE - FORNECIMENTO E INSTALAÇÃO</t>
  </si>
  <si>
    <t>3.4.1.26</t>
  </si>
  <si>
    <t>CAIXA RETANGULAR 4" X 4" BAIXA (0,40 M DO PISO), PVC, INSTALADA EM PAREDE - FORNECIMENTO E INSTALAÇÃO</t>
  </si>
  <si>
    <t>3.4.1.27</t>
  </si>
  <si>
    <t>SUPORTE PARAFUSADO COM PLACA DE ENCAIXE 4" X 2" BAIXO (0,40 M DO PISO) PARA PONTO ELÉTRICO - FORNECIMENTO E INSTALAÇÃO</t>
  </si>
  <si>
    <t>3.4.1.28</t>
  </si>
  <si>
    <t>SUPORTE PARAFUSADO COM PLACA DE ENCAIXE 4" X 2" MÉDIO (1,00 M DO PISO) PARA PONTO ELÉTRICO - FORNECIMENTO E INSTALAÇÃO.</t>
  </si>
  <si>
    <t>3.4.1.29</t>
  </si>
  <si>
    <t>SUPORTE PARAFUSADO COM PLACA DE ENCAIXE 4" X 2" ALTO (2,20 M DO PISO) PARA PONTO ELÉTRICO - FORNECIMENTO E INSTALAÇÃO</t>
  </si>
  <si>
    <t>3.4.1.30</t>
  </si>
  <si>
    <t>SUPORTE PARAFUSADO COM PLACA DE ENCAIXE 4" X 4" BAIXO (0,40 M DO PISO) PARA PONTO ELÉTRICO - FORNECIMENTO E INSTALAÇÃO</t>
  </si>
  <si>
    <t>3.4.1.31</t>
  </si>
  <si>
    <t>ELETRODUTO RÍGIDO EM PVC, DN 25 MM (3/4"), PARA CIRCUITOS TERMINAIS, INSTALADO EM PAREDE - FORNECIMENTO E INSTALAÇÃO</t>
  </si>
  <si>
    <t>3.4.1.32</t>
  </si>
  <si>
    <t>ELETRODUTO DE PVC RÍGIDO ROSCÁVEL Ø=3/4", INSTALADO NO ENTREFORRO, INCLUSIVE CONEXÕES</t>
  </si>
  <si>
    <t>3.4.1.33</t>
  </si>
  <si>
    <t>3.4.1.34</t>
  </si>
  <si>
    <t>ELETRODUTO DE PVC RÍGIDO ROSCÁVEL, DN 25 MM (1"), INCLUSIVE CONEXÕES, SUPORTES E FIXAÇÃO</t>
  </si>
  <si>
    <t>3.4.1.35</t>
  </si>
  <si>
    <t>ED-49070</t>
  </si>
  <si>
    <t>CONDULETE DE ALUMÍNIO, TIPO "C", DIÂMETRO DE SAÍDA 3/4" (20MM), EXCLUSIVE MÓDULO E PLACA, INCLUSIVE FIXAÇÃO</t>
  </si>
  <si>
    <t>3.4.1.36</t>
  </si>
  <si>
    <t>ED-49079</t>
  </si>
  <si>
    <t>CONDULETE DE ALUMÍNIO, TIPO "E", DIÂMETRO DE SAÍDA 3/4" (20MM), EXCLUSIVE MÓDULO E PLACA, INCLUSIVE FIXAÇÃO</t>
  </si>
  <si>
    <t>3.4.1.37</t>
  </si>
  <si>
    <t>ED-17959</t>
  </si>
  <si>
    <t>CONDULETE DE ALUMÍNIO, TIPO "LB", DIÂMETRO DE SAÍDA 3/4" (20MM), EXCLUSIVE MÓDULO E PLACA, INCLUSIVE FIXAÇÃO</t>
  </si>
  <si>
    <t>3.4.1.38</t>
  </si>
  <si>
    <t>3.4.1.39</t>
  </si>
  <si>
    <t>3.4.1.40</t>
  </si>
  <si>
    <t>3.4.1.41</t>
  </si>
  <si>
    <t>ED-49097</t>
  </si>
  <si>
    <t>CONDULETE DE ALUMÍNIO, TIPO "X", DIÂMETRO DE SAÍDA 3/4" (20MM), EXCLUSIVE MÓDULO E PLACA, INCLUSIVE FIXAÇÃO</t>
  </si>
  <si>
    <t>3.4.1.42</t>
  </si>
  <si>
    <t>ED-17978</t>
  </si>
  <si>
    <t>CONJUNTO PARA CONDULETE DE 3/4" (20MM) COM UMA (1) TOMADA PADRÃO, TRÊS (3) POLOS, CORRENTE 20A, TENSÃO 250V, (2P+T/20A-250V) E PLACA DE UM (1) POSTO, INCLUSIVE FORNECIMENTO, INSTALAÇÃO, SUPORTE, MÓDULO E PLACA, EXCLUSIVE CONDULETE</t>
  </si>
  <si>
    <t>3.4.1.43</t>
  </si>
  <si>
    <t>ED-17990</t>
  </si>
  <si>
    <t>PLACA CEGA PARA CONDULETE, COM DIÂMETRO DE SAÍDA 3/4" (20MM), EXCLUSIVE CONDULETE</t>
  </si>
  <si>
    <t>3.4.1.44</t>
  </si>
  <si>
    <t>ED-19522</t>
  </si>
  <si>
    <t>ELETROCALHA PERFURADA (150X100)MM EM CHAPA DE AÇO GALVANIZADO #18, COM TRATAMENTO PRÉ-ZINCADO, INCLUSIVE TAMPA DE ENCAIXE, FIXAÇÃO SUPERIOR, CONEXÕES E ACESSÓRIOS</t>
  </si>
  <si>
    <t>3.4.1.45</t>
  </si>
  <si>
    <t>3.4.1.46</t>
  </si>
  <si>
    <t>ED-49463</t>
  </si>
  <si>
    <t>CAIXA PARA TOMADA FIXA, PERFIL COM TAMPA E TOMADA UNIVERSAL, PARA PERFILADO</t>
  </si>
  <si>
    <t>3.4.1.47</t>
  </si>
  <si>
    <t>ED-27077</t>
  </si>
  <si>
    <t>LUMINÁRIA COMERCIAL COM ALETAS DE EMBUTIR, PARA QUATRO (4) LÂMPADAS TUBULARES LED 4X9W-ØT8, FORNECIMENTO E INSTALAÇÃO, EXCLUSIVE BASE E LÂMPADA</t>
  </si>
  <si>
    <t>3.4.1.48</t>
  </si>
  <si>
    <t>ED-13355</t>
  </si>
  <si>
    <t>LUMINÁRIA PLAFON REDONDO DE VIDRO JATEADO REDONDO, DIÂMETRO 25 CM, PARA UMA (1) LÂMPADA BASE E-27, FORNECIMENTO E INSTALAÇÃO, INCLUSIVE BASE, EXCLUSIVE LÂMPADA</t>
  </si>
  <si>
    <t>3.4.1.49</t>
  </si>
  <si>
    <t>LUMINÁRIA ARANDELA TIPO TARTARUGA, DE SOBREPOR, COM 1 LÂMPADA LED DE 6 W, SEM REATOR - FORNECIMENTO E INSTALAÇÃO. AF_02/2020</t>
  </si>
  <si>
    <t>3.4.1.50</t>
  </si>
  <si>
    <t>ED-9972</t>
  </si>
  <si>
    <t>LÂMPADA TUBULAR LED, BASE G13, POTÊNCIA 9W, DIÂMETRO 26MM/T8, TEMPERATURA DA COR 6500K, FORNECIMENTO E INSTALAÇÃO, EXCLUSIVE LUMINÁRIA</t>
  </si>
  <si>
    <t>3.4.1.51</t>
  </si>
  <si>
    <t>ED-13342</t>
  </si>
  <si>
    <t>LÂMPADA LED, BASE E27, POTÊNCIA 9W, BULBO A60, TEMPERATURA DA COR 6500K, TENSÃO 110-127V, FORNECIMENTO E INSTALAÇÃO, EXCLUSIVE LUMINÁRIA</t>
  </si>
  <si>
    <t>3.4.1.52</t>
  </si>
  <si>
    <t>ED-49315</t>
  </si>
  <si>
    <t>ELETRODUTO DE PVC RÍGIDO ROSCÁVEL, DN 100 MM (4"), INCLUSIVE CONEXÕES, SUPORTES E FIXAÇÃO</t>
  </si>
  <si>
    <t>3.4.1.53</t>
  </si>
  <si>
    <t>ED-49109</t>
  </si>
  <si>
    <t>CONDULETE DE ALUMÍNIO, TIPO "LR", DIÂMETRO DE SAÍDA 1.1/2" (40MM), EXCLUSIVE MÓDULO E PLACA, INCLUSIVE FIXAÇÃO</t>
  </si>
  <si>
    <t>3.4.1.54</t>
  </si>
  <si>
    <t>ED-49107</t>
  </si>
  <si>
    <t>CONDULETE DE ALUMÍNIO, TIPO "LR", DIÂMETRO DE SAÍDA 1" (25MM), EXCLUSIVE MÓDULO E PLACA, INCLUSIVE FIXAÇÃO</t>
  </si>
  <si>
    <t>3.4.1.55</t>
  </si>
  <si>
    <t>QDE-008</t>
  </si>
  <si>
    <t>QUADRO ELÉTRICO DE EMBUTIR QGBT-3PB</t>
  </si>
  <si>
    <t>3.4.1.56</t>
  </si>
  <si>
    <t>QDE-009</t>
  </si>
  <si>
    <t>QUADRO ELÉTRICO DE EMBUTIR QGBT-TOM-3PB</t>
  </si>
  <si>
    <t>3.4.1.57</t>
  </si>
  <si>
    <t>QDE-010</t>
  </si>
  <si>
    <t>QUADRO ELÉTRICO DE EMBUTIR QGBT-VAC-3PB</t>
  </si>
  <si>
    <t>3.4.1.58</t>
  </si>
  <si>
    <t>QDE-011</t>
  </si>
  <si>
    <t>QUADRO ELÉTRICO DE EMBUTIR QDI-3PB-01</t>
  </si>
  <si>
    <t>3.4.1.59</t>
  </si>
  <si>
    <t>QDE-012</t>
  </si>
  <si>
    <t>QUADRO ELÉTRICO DE EMBUTIR QDI-3PB-02</t>
  </si>
  <si>
    <t>3.4.1.60</t>
  </si>
  <si>
    <t>QDE-013</t>
  </si>
  <si>
    <t>QUADRO ELÉTRICO DE EMBUTIR QDT-3PB-TIPICO 1</t>
  </si>
  <si>
    <t>3.4.1.61</t>
  </si>
  <si>
    <t>QDE-014</t>
  </si>
  <si>
    <t>QUADRO ELÉTRICO DE EMBUTIR QDT-3PB-TIPICO 2</t>
  </si>
  <si>
    <t>3.4.1.62</t>
  </si>
  <si>
    <t>QDE-015</t>
  </si>
  <si>
    <t>QUADRO ELÉTRICO DE EMBUTIR QDT-3PB-TIPICO 3</t>
  </si>
  <si>
    <t>3.4.2.1</t>
  </si>
  <si>
    <t>ED-19524</t>
  </si>
  <si>
    <t>ELETROCALHA PERFURADA (200X100)MM EM CHAPA DE AÇO GALVANIZADO #18, COM TRATAMENTO PRÉ-ZINCADO, INCLUSIVE TAMPA DE ENCAIXE, FIXAÇÃO SUPERIOR, CONEXÕES E ACESSÓRIOS</t>
  </si>
  <si>
    <t>3.4.2.2</t>
  </si>
  <si>
    <t>3.4.2.3</t>
  </si>
  <si>
    <t>ED-49321</t>
  </si>
  <si>
    <t>ELETRODUTO DE AÇO GALVANIZADO MÉDIO, INCLUSIVE CONEXÕES, SUPORTES E FIXAÇÃO DN 50 (2")</t>
  </si>
  <si>
    <t>3.4.2.4</t>
  </si>
  <si>
    <t>ED-49074</t>
  </si>
  <si>
    <t>CONDULETE DE ALUMÍNIO, TIPO "C", DIÂMETRO DE SAÍDA 2" (50MM), EXCLUSIVE MÓDULO E PLACA, INCLUSIVE FIXAÇÃO</t>
  </si>
  <si>
    <t>3.4.2.5</t>
  </si>
  <si>
    <t>ED-49092</t>
  </si>
  <si>
    <t>CONDULETE DE ALUMÍNIO, TIPO "T", DIÂMETRO DE SAÍDA 2" (50MM), EXCLUSIVE MÓDULO E PLACA, INCLUSIVE FIXAÇÃO</t>
  </si>
  <si>
    <t>3.4.2.6</t>
  </si>
  <si>
    <t>ED-17994</t>
  </si>
  <si>
    <t>PLACA CEGA PARA CONDULETE, COM DIÂMETRO DE SAÍDA 2" (50MM), EXCLUSIVE CONDULETE</t>
  </si>
  <si>
    <t>3.4.2.7</t>
  </si>
  <si>
    <t>3.4.2.8</t>
  </si>
  <si>
    <t>3.4.2.9</t>
  </si>
  <si>
    <t>3.4.3.1</t>
  </si>
  <si>
    <t>3.4.3.2</t>
  </si>
  <si>
    <t>3.4.3.3</t>
  </si>
  <si>
    <t>ED-49080</t>
  </si>
  <si>
    <t>CONDULETE DE ALUMÍNIO, TIPO "E", DIÂMETRO DE SAÍDA 1" (25MM), EXCLUSIVE MÓDULO E PLACA, INCLUSIVE FIXAÇÃO</t>
  </si>
  <si>
    <t>3.4.3.4</t>
  </si>
  <si>
    <t>3.4.3.5</t>
  </si>
  <si>
    <t>3.4.3.6</t>
  </si>
  <si>
    <t>3.4.3.7</t>
  </si>
  <si>
    <t>RASGO EM ALVENARIA PARA RAMAIS/ DISTRIBUIÇÃO COM DIÂMETROS MAIORES QUE 40 MM E MENORES OU IGUAIS A 75 MM</t>
  </si>
  <si>
    <t>3.4.3.8</t>
  </si>
  <si>
    <t>CHUMBAMENTO LINEAR EM ALVENARIA PARA RAMAIS/DISTRIBUIÇÃO COM DIÂMETROS MAIORES QUE 40 MM E MENORES OU IGUAIS A 75 MM</t>
  </si>
  <si>
    <t>3.5.1.1</t>
  </si>
  <si>
    <t>Unidades Condicionadoras de Ar</t>
  </si>
  <si>
    <t>3.5.1.1.1</t>
  </si>
  <si>
    <t>CMT-011</t>
  </si>
  <si>
    <t>UNIDADE CONDICIONADORA DE AR TIPO "FAN-COIL" MODELO VORTEX 35 TR, GABINETE VERTICAL, DESCARGA VERTICAL PARA CIMA, VENTILADOR SIROCCO -FC-01 3B.
CAPACIDADE NOMINAL = 125,71 KW (35,74TR)/ CAPACIDADE SENSÍVEL = 79 KW
VAZÃO DE AR INSUFLADO = 23245 M3/H
PRESSÃO ESTÁTICA EXTERNA = 30 MMCA
TEMPERATURA DO AR DE ENTRADA SERPENTINA (BS/BU) = 24,8/18,9°C / TEMPERATURA DA ÁGUA GELADA ENT/SAÍDA = 7,0/12,5 °C 
VAZÃO DE ÁGUA GELADA = 20,46 M3/H / PERDA DE CARGA NA SERPENTINA = 1,15 MCA 
NÚMERO DE ROWS = 6 / NÚMERO DE CIRCUITOS = 51 
NÚMERO DE TUBOS = 34 / DIÂMETRO DO TUBO = 1/2"
NÚMERO DE ALETAS POR POLEGADA = 9 /DIÂMETRO DA CONEXÃO = 2" 
LADO HIDRÁULICA = ESQUERDA (VISTO FRENTE AO FILTRO DE AR ) 
POTÊNCIA MOTOR ELÉTRICO = 10 CV (220V/3F/60HZ)
DIMENSÕES DA UNIDADE (A/L/P) = 2352/2656/1009 MM / PESO DA UNIDADE = 460 KG 
OBS.: EQUIPAMENTO DOTADO DE FILTRO DE AR CLASSE M5 
REF.: CARRIER OU EQUIVALENTE</t>
  </si>
  <si>
    <t>3.5.1.1.2</t>
  </si>
  <si>
    <t>CMT-012</t>
  </si>
  <si>
    <t>UNIDADE CONDICIONADORA DE AR TIPO "FAN-COIL" MODELO VORTEX 15 TR, GABINETE VERTICAL, DESCARGA VERTICAL PARA CIMA, VENTILADOR SIROCCO -FC-02 3B.
CAPACIDADE NOMINAL = 40,54 KW (11,52) / CAPACIDADE SENSÍVEL = 25,37 KW
VAZÃO DE AR INSUFLADO = 8305 M3/H
 PRESSÃO ESTÁTICA EXTERNA = 30 MMCA
TEMPERATURA DO AR DE ENTRADA SERPENTINA (BS/BU) = 24,7/19,0°C /  TEMPERATURA DA ÁGUA GELADA ENT/SAÍDA = 7,0/12,5 °C
VAZÃO DE ÁGUA GELADA = 6,63 M3/H / PERDA DE CARGA NA SERPENTINA = 2,18 MCA
NÚMERO DE ROWS = 4 / NÚMERO DE CIRCUITOS = 13
NÚMERO DE TUBOS = 26 / DIÂMETRO DO TUBO = 1/2"
NÚMERO DE ALETAS POR POLEGADA = 9 / DIÂMETRO DA CONEXÃO = 11/4"
LADO HIDRÁULICA = DIREITA (VISTO FRENTE AO FILTRO DE AR )
POTÊNCIA MOTOR ELÉTRICO = 3,0 CV (220V/3F/60HZ)
DIMENSÕES DA UNIDADE (A/L/P) = 1609/1849/671 MM / PESO DA UNIDADE = 229 KG
OBS.: EQUIPAMENTO DOTADO DE FILTRO DE AR CLASSE M5
REF.: CARRIER OU EQUIVALENTE</t>
  </si>
  <si>
    <t>3.5.1.1.3</t>
  </si>
  <si>
    <t>CMT-009</t>
  </si>
  <si>
    <t>UNIDADE CONDICIONADORA DE AR TIPO "FAN-COIL" MODELO VORTEX 15 TR, GABINETE VERTICAL, DESCARGA VERTICAL PARA CIMA, VENTILADOR SIROCCO -FC-03 3B.                                                                                  CAPACIDADE NOMINAL = 44,19 KW (12,56)
CAPACIDADE SENSÍVEL = 28,29 KW 
VAZÃO DE AR INSUFLADO = 9470 M3/H
PRESSÃO ESTÁTICA EXTERNA = 30 MMCA
TEMPERATURA DO AR DE ENTRADA SERPENTINA (BS/BU) = 25/19,1°C  / TEMPERATURA DA ÁGUA GELADA ENT/SAÍDA = 7,0/12,5 °C  
VAZÃO DE ÁGUA GELADA = 7,28 M3/H
PERDA DE CARGA NA SERPENTINA = 2,56 MCA
NÚMERO DE ROWS = 4  / NÚMERO DE CIRCUITOS = 13
NÚMERO DE TUBOS = 26  / DIÂMETRO DO TUBO = 1/2"  
NÚMERO DE ALETAS POR POLEGADA = 9 / DIÂMETRO DA CONEXÃO = 11/4" 
LADO HIDRÁULICA = DIREITA (VISTO FRENTE AO FILTRO DE AR )
POTÊNCIA MOTOR ELÉTRICO = 4,0 CV (220V/3F/60HZ) 
DIMENSÕES DA UNIDADE (A/L/P) = 1609/1849/671 MM / PESO DA UNIDADE = 229 KG                                                                                                                                                                                                                                         OBS.: EQUIPAMENTO DOTADO DE FILTRO DE AR CLASSE M5
REF.: CARRIER OU EQUIVALENTE</t>
  </si>
  <si>
    <t>3.5.1.1.4</t>
  </si>
  <si>
    <t>CMT-010</t>
  </si>
  <si>
    <t>UNIDADE CONDICIONADORA DE AR TIPO "FAN-COIL" MODELO VORTEX 35 TR, GABINETE VERTICAL, DESCARGA VERTICAL PARA CIMA, VENTILADOR SIROCCO -FC-04 3B.
CAPACIDADE NOMINAL = 128,88 KW (36,6TR) / CAPACIDADE SENSÍVEL = 82,01 KW
VAZÃO DE AR INSUFLADO = 22270 M3/H 
PRESSÃO ESTÁTICA EXTERNA = 30 MMCA  
TEMPERATURA DO AR DE ENTRADA SERPENTINA (BS/BU) = 25/18,7°C  / TEMPERATURA DA ÁGUA GELADA ENT/SAÍDA = 7,0/12,5 °C 
VAZÃO DE ÁGUA GELADA = 20,90 M3/H 
PERDA DE CARGA NA SERPENTINA = 3,70 MCA
NÚMERO DE ROWS = 6 / NÚMERO DE CIRCUITOS = 34 
NÚMERO DE TUBOS = 34 / DIÂMETRO DO TUBO = 1/2" 
NÚMERO DE ALETAS POR POLEGADA = 9 
DIÂMETRO DA CONEXÃO = 2" 
LADO HIDRÁULICA = DIREITA (VISTO FRENTE AO FILTRO DE AR ) 
POTÊNCIA MOTOR ELÉTRICO = 10 CV (220V/3F/60HZ)  
DIMENSÕES DA UNIDADE (A/L/P) = 2352/2656/1009 MM /PESO DA UNIDADE = 460 KG 
OBS.: EQUIPAMENTO DOTADO DE FILTRO DE AR CLASSE M5
REF.: CARRIER OU EQUIVALENTE</t>
  </si>
  <si>
    <t>3.5.1.2</t>
  </si>
  <si>
    <t>Caixas VAV</t>
  </si>
  <si>
    <t>3.5.1.2.1</t>
  </si>
  <si>
    <t>CMT-020</t>
  </si>
  <si>
    <t>CAIXA DE VOLUME VARIÁVEL DE AR COM TODOS OS CONTROLES E SENSOR DE TEMPERATURA (TERMOSTATO) AMBIENTE MONTADO EM CAIXA DE SOBREPOR. DEVERÁ SER PREPARADA PARA AUTOMAÇÃO, SINAL DE CONTROLE 4 A 20 MA
MODELO TVJD-DIMENSÕES 300X100. REF.: TROX OU EQUIVALENTE</t>
  </si>
  <si>
    <t>3.5.1.2.2</t>
  </si>
  <si>
    <t>CMT-021</t>
  </si>
  <si>
    <t>CAIXA DE VOLUME VARIÁVEL DE AR COM TODOS OS CONTROLES E SENSOR DE TEMPERATURA (TERMOSTATO) AMBIENTE MONTADO EM CAIXA DE SOBREPOR.   DEVERÁ SER PREPARADA PARA AUTOMAÇÃO, SINAL DE CONTROLE 4 A 20 MA
MODELO TVJD-DIMENSÕES 200X100. REF.: TROX OU EQUIVALENTE</t>
  </si>
  <si>
    <t>3.5.1.2.3</t>
  </si>
  <si>
    <t>CMT-022</t>
  </si>
  <si>
    <t>CAIXA DE VOLUME VARIÁVEL DE AR COM TODOS OS CONTROLES E SENSOR DE TEMPERATURA (TERMOSTATO) AMBIENTE MONTADO EM CAIXA DE SOBREPOR. DEVERÁ SER PREPARADA PARA AUTOMAÇÃO, SINAL DE CONTROLE 4 A 20 MA
MODELO TVJD-DIMENSÕES 300X200. REF.: TROX OU EQUIVALENTE</t>
  </si>
  <si>
    <t>3.5.1.3</t>
  </si>
  <si>
    <t>Difusores VARIYSET</t>
  </si>
  <si>
    <t>3.5.1.3.1</t>
  </si>
  <si>
    <t>DIF-010</t>
  </si>
  <si>
    <t>DIFUSOR EM ALUMÍNIO, SEM REGISTRO, CAIXA PLENUM, QUATRO VIAS, MODELO VARYSET PARA VAV - TAMANHO 500, COLARINHO Φ = 248 MM (10") . REF.: TROX OU EQUIVALENTE</t>
  </si>
  <si>
    <t>3.5.1.3.2</t>
  </si>
  <si>
    <t>DIF-011</t>
  </si>
  <si>
    <t>DIFUSOR EM ALUMÍNIO, SEM REGISTRO, CAIXA PLENUM, QUATRO VIAS, MODELO VARYSET PARA VAV - TAMANHO 400, COLARINHO Φ = 198 MM (8") . REF.: TROX OU EQUIVALENTE</t>
  </si>
  <si>
    <t>3.5.1.3.3</t>
  </si>
  <si>
    <t>DIF-012</t>
  </si>
  <si>
    <t>DIFUSOR EM ALUMÍNIO, SEM REGISTRO, CAIXA PLENUM, QUATRO VIAS, MODELO VARYSET PARA VAV - TAMANHO 300, COLARINHO Φ = 158 MM (6") . REF.: TROX OU EQUIVALENTE</t>
  </si>
  <si>
    <t>3.5.1.4</t>
  </si>
  <si>
    <t>Grelhas para Retorno de Ar</t>
  </si>
  <si>
    <t>3.5.1.4.1</t>
  </si>
  <si>
    <t>GRL-010</t>
  </si>
  <si>
    <t>GRELHA EM ALUMÍNIO COM REGISTRO PARA RETORNO DE AR MODELO AR-AG, L=625, H=325, REF.: TROX OU EQUIVALENTE</t>
  </si>
  <si>
    <t>3.5.1.4.2</t>
  </si>
  <si>
    <t>GRL-011</t>
  </si>
  <si>
    <t>GRELHA EM ALUMÍNIO COM REGISTRO PARA RETORNO DE AR MODELO AR-AG, L=425, H=325, REF.: TROX OU EQUIVALENTE</t>
  </si>
  <si>
    <t>3.5.1.4.3</t>
  </si>
  <si>
    <t>GRL-012</t>
  </si>
  <si>
    <t>GRELHA EM ALUMÍNIO COM REGISTRO PARA RETORNO DE AR MODELO AR-AG, L=425, H=425, REF.: TROX OU EQUIVALENTE</t>
  </si>
  <si>
    <t>3.5.1.4.4</t>
  </si>
  <si>
    <t>GRL-013</t>
  </si>
  <si>
    <t>GRELHA EM ALUMÍNIO COM REGISTRO PARA RETORNO DE AR MODELO AR-AG, L=625, H=225, REF.: TROX OU EQUIVALENTE</t>
  </si>
  <si>
    <t>3.5.1.5</t>
  </si>
  <si>
    <t>Grelhas para Porta</t>
  </si>
  <si>
    <t>3.5.1.5.1</t>
  </si>
  <si>
    <t>GRL-014</t>
  </si>
  <si>
    <t>GRELHA EM ALUMÍNIO PARA PORTA, COM CONTRA MOLDURA,  MODELO AGS-T, L=425, H=225. REF.: TROX OU EQUIVALENTE</t>
  </si>
  <si>
    <t>3.5.1.5.2</t>
  </si>
  <si>
    <t>GRL-015</t>
  </si>
  <si>
    <t>GRELHA EM ALUMÍNIO PARA PORTA, COM CONTRA MOLDURA,  MODELO AGS-T, L=425, H=325. REF.: TROX OU EQUIVALENTE</t>
  </si>
  <si>
    <t>3.5.1.6</t>
  </si>
  <si>
    <t>Registro para Controle de Vazão de Ar</t>
  </si>
  <si>
    <t>3.5.1.6.1</t>
  </si>
  <si>
    <t>REG-010</t>
  </si>
  <si>
    <t>REGISTRO PARA CONTROLE DE VAZÃO DE AR COM LÂMINAS CONVERGENTES, MODELO JN-B, ACIONADO POR ATUADOR, COM KIT PARA FIXAÇÃO DO ATUADOR. B=800,H=510, REF.: TROX OU EQUIVALENTE</t>
  </si>
  <si>
    <t>3.5.1.6.2</t>
  </si>
  <si>
    <t>REG-011</t>
  </si>
  <si>
    <t>REGISTRO PARA CONTROLE DE VAZÃO DE AR COM LÂMINAS CONVERGENTES, MODELO JN-B, ACIONADO POR ATUADOR, COM KIT PARA FIXAÇÃO DO ATUADOR. B=1000,H=675, REF.: TROX OU EQUIVALENTE</t>
  </si>
  <si>
    <t>3.5.1.6.3</t>
  </si>
  <si>
    <t>REG-012</t>
  </si>
  <si>
    <t>REGISTRO PARA CONTROLE DE VAZÃO DE AR COM LÂMINAS CONVERGENTES, MODELO JN-B, ACIONADO POR ATUADOR, COM KIT PARA FIXAÇÃO DO ATUADOR. B=1000,H=510, REF.: TROX OU EQUIVALENTE</t>
  </si>
  <si>
    <t>3.5.1.6.4</t>
  </si>
  <si>
    <t>REG-013</t>
  </si>
  <si>
    <t>REGISTRO PARA CONTROLE DE VAZÃO DE AR COM LÂMINAS CONVERGENTES, MODELO JN-B, ACIONADO POR ATUADOR, COM KIT PARA FIXAÇÃO DO ATUADOR. B=400,H=510, REF.: TROX OU EQUIVALENTE</t>
  </si>
  <si>
    <t>3.5.1.7</t>
  </si>
  <si>
    <t>Colarinhos para Conexão entre Duto Chapa Galvanizada e Duto Flexível</t>
  </si>
  <si>
    <t>3.5.1.7.1</t>
  </si>
  <si>
    <t>CHP-001</t>
  </si>
  <si>
    <t>COLARINHO EM CHAPA GALVANIZADA, PARA INTERLIGAR DUTO FLEXÍVEL AO DUTO PRINCIPAL, COM REGISTRO, Φ = 10", REF.: MULTIVAC OU EQUIVALENTE</t>
  </si>
  <si>
    <t>3.5.1.7.2</t>
  </si>
  <si>
    <t>CHP-002</t>
  </si>
  <si>
    <t>COLARINHO EM CHAPA GALVANIZADA, PARA INTERLIGAR DUTO FLEXÍVEL AO DUTO PRINCIPAL, COM REGISTRO, Φ = 8", REF.: MULITVAC OU EQUIVALENTE</t>
  </si>
  <si>
    <t>3.5.1.7.3</t>
  </si>
  <si>
    <t>CHP-003</t>
  </si>
  <si>
    <t>COLARINHO EM CHAPA GALVANIZADA, PARA INTERLIGAR DUTO FLEXÍVEL AO DUTO PRINCIPAL, COM REGISTRO, Φ = 6", REF.: MULTIVAC OU EQUIVALENTE</t>
  </si>
  <si>
    <t>3.5.1.7.4</t>
  </si>
  <si>
    <t>CHP-004</t>
  </si>
  <si>
    <t>COLARINHO EM CHAPA GALVANIZADA, PARA INTERLIGAR DUTO FLEXÍVEL AO DUTO PRINCIPAL, COM REGISTRO, Φ = 5", REF.: MULTIVAC OU EQUIVALENTE</t>
  </si>
  <si>
    <t>3.5.1.8</t>
  </si>
  <si>
    <t>Tomada de Ar Externo</t>
  </si>
  <si>
    <t>3.5.1.8.1</t>
  </si>
  <si>
    <t>TAE-001</t>
  </si>
  <si>
    <t>TOMADA DE AR EXTERNO COM VENEZIANA, REGISTRO E FILTRO DE AR MODELO VDF-754, B=697, H=697. REF.: TROX OU EQUIVALENTE</t>
  </si>
  <si>
    <t>3.5.1.9</t>
  </si>
  <si>
    <t>Venezianas</t>
  </si>
  <si>
    <t>3.5.1.9.1</t>
  </si>
  <si>
    <t>VEN-001</t>
  </si>
  <si>
    <t>VENEZIANA EM ALUMÍNIO COM TELA PROTETORA DE PLÁSTICO,  MODELO AWK, L=397, H=197 . REF.: TROX OU EQUIVALENTE</t>
  </si>
  <si>
    <t>3.5.1.10</t>
  </si>
  <si>
    <t>Grelhas para Insuflação de Ar</t>
  </si>
  <si>
    <t>3.5.1.10.1</t>
  </si>
  <si>
    <t>GRL-016</t>
  </si>
  <si>
    <t>GRELHA EM ALUMÍNIO COM REGISTRO, DUPLA DEFLEXÃO,  MODELO AT-AG, L=825, H=125 . REF.: TROX OU EQUIVALENTE</t>
  </si>
  <si>
    <t>3.5.1.10.2</t>
  </si>
  <si>
    <t>ATN-001</t>
  </si>
  <si>
    <t xml:space="preserve">ATENUADOR DE RUÍDO COM CARCAÇA E CÉLULAS DE CHAPA GALVANIZADA, COM MATERIAL DE ABSORÇÃO EM LÂ MINERAL REVESTIDO COM TELA DE VIDRO. MODELO KS-200 - ATR-01 
VAZÃO DE AR  = 12985 M3/H
PERDA DE CARGA =74 PA
VELOCIDADE NA CÉLULA  = 12,0 M3/H /LW (DB(A)=49 /  NÚMERO DE CÉLULAS = 5
LARGURA/ALTURA/COMPRIMENTO = 1500/700/1000 MM / PESO = 103 KG
FREQUENCIA/ATENUAÇÃO  -    63HZ/3   125/10   250/19  500/19  1000/25  2000/18  4000/13  8000/12   
REF.:BERLINER LUFT OU EQUIVALENTE                                                                                                                                                                                                                                                    </t>
  </si>
  <si>
    <t>3.5.1.10.3</t>
  </si>
  <si>
    <t>ATN-002</t>
  </si>
  <si>
    <t xml:space="preserve">ATENUADOR DE RUÍDO COM CARCAÇA E CÉLULAS DE CHAPA GALVANIZADA, COM MATERIAL DE ABSORÇÃO EM LÂ MINERAL REVESTIDO COM TELA DE VIDRO. MODELO KS-200 - ATR-02
VAZÃO DE AR  = 10453 M3/H
PERDA DE CARGA =39 PA
VELOCIDADE NA CÉLULA  = 9,2 M3/H / LW (DB(A)=42 / NÚMERO DE CÉLULAS = 3
LARGURA/ALTURA/COMPRIMENTO = 1000/800/1400 MM / PESO = 101 KG
FREQUENCIA/ATENUAÇÃO  -    63HZ/4   125/11   250/22  500/21  1000/27  2000/19  4000/13  8000/12   
REF.:BERLINER LUFT OU EQUIVALENTE                                                                                                                                                                                                                                                    </t>
  </si>
  <si>
    <t>3.5.1.10.4</t>
  </si>
  <si>
    <t>ATN-003</t>
  </si>
  <si>
    <t xml:space="preserve">ATENUADOR DE RUÍDO COM CARCAÇA E CÉLULAS DE CHAPA GALVANIZADA, COM MATERIAL DE ABSORÇÃO EM LÂ MINERAL REVESTIDO COM TELA DE VIDRO. MODELO KS-200 - ATR-03
VAZÃO DE AR  = 8130 M3/H
PERDA DE CARGA =45 PA
VELOCIDADE NA CÉLULA  = 9,4 M3/H  / LW (DB(A)=41 / NÚMERO DE CÉLULAS = 3
LARGURA/ALTURA/COMPRIMENTO = 1000/600/1800 MM / PESO = 111 KG
FREQUENCIA/ATENUAÇÃO  -    63HZ/5   125/14   250/28  500/27  1000/33  2000/23  4000/15  8000/14   
REF.:BERLINER LUFT OU EQUIVALENTE                                                                                                                                                                                                                                                    </t>
  </si>
  <si>
    <t>3.5.1.10.5</t>
  </si>
  <si>
    <t>ATN-004</t>
  </si>
  <si>
    <t xml:space="preserve">ATENUADOR DE RUÍDO COM CARCAÇA E CÉLULAS DE CHAPA GALVANIZADA, COM MATERIAL DE ABSORÇÃO EM LÂ MINERAL REVESTIDO COM TELA DE VIDRO. MODELO KS-200 - ATR-04 
VAZÃO DE AR  = 10560 M3/H
PERDA DE CARGA =43 PA
VELOCIDADE NA CÉLULA  = 9,8 M3/H / LW (DB(A)=43 /NÚMERO DE CÉLULAS = 3 
LARGURA/ALTURA/COMPRIMENTO = 1100/600/1000 MM /PESO = 65 KG  
FREQUENCIA/ATENUAÇÃO  -    63HZ/2   125/7   250/13  500/13  1000/16  2000/12  4000/10  8000/9   
REF.:BERLINER LUFT OU EQUIVALENTE                                                                                                                                                                                                                                                    </t>
  </si>
  <si>
    <t>3.5.1.10.6</t>
  </si>
  <si>
    <t>ATN-005</t>
  </si>
  <si>
    <t xml:space="preserve">ATENUADOR DE RUÍDO COM CARCAÇA E CÉLULAS DE CHAPA GALVANIZADA, COM MATERIAL DE ABSORÇÃO EM LÂ MINERAL REVESTIDO COM TELA DE VIDRO. MODELO KS-200 - ATR-05 
VAZÃO DE AR  = 9470 M3/H
PERDA DE CARGA =50 PA 
VELOCIDADE NA CÉLULA  = 10,5 M3/H / LW (DB(A)=44  / NÚMERO DE CÉLULAS = 5
LARGURA/ALTURA/COMPRIMENTO = 1300/500/1000 MM / PESO = 72 KG  
FREQUENCIA/ATENUAÇÃO  -    63HZ/9   125/9   250/17  500/17  1000/21  2000/16  4000/12  8000/11   
REF.:BERLINER LUFT OU EQUIVALENTE                                                                                                                                                                                                                                                    </t>
  </si>
  <si>
    <t>3.5.1.10.7</t>
  </si>
  <si>
    <t>ATN-006</t>
  </si>
  <si>
    <t xml:space="preserve">ATENUADOR DE RUÍDO COM CARCAÇA E CÉLULAS DE CHAPA GALVANIZADA, COM MATERIAL DE ABSORÇÃO EM LÂ MINERAL REVESTIDO COM TELA DE VIDRO. MODELO KS-200 - ATR-06
VAZÃO DE AR  = 8305 M3/H
PERDA DE CARGA =40 PA
VELOCIDADE NA CÉLULA  = 9,2 M3/H / LW (DB(A)=41 / NÚMERO DE CÉLULAS =4                                                                                                                                                                                                                                                                           LARGURA/ALTURA/COMPRIMENTO = 1300/500/1200 MM / PESO = 84 KG 
FREQUENCIA/ATENUAÇÃO  -    63HZ/3   125/10   250/20  500/20  1000/25  2000/18  4000/13  8000/12   
REF.:BERLINER LUFT OU EQUIVALENTE                                                                                                                                                                                                                                                    </t>
  </si>
  <si>
    <t>3.5.1.10.8</t>
  </si>
  <si>
    <t>ATN-007</t>
  </si>
  <si>
    <t xml:space="preserve">ATENUADOR DE RUÍDO COM CARCAÇA E CÉLULAS DE CHAPA GALVANIZADA, COM MATERIAL DE ABSORÇÃO EM LÂ MINERAL REVESTIDO COM TELA DE VIDRO. MODELO KS-200 - ATR-07
VAZÃO DE AR  = 6200 M3/H
PERDA DE CARGA =34 PA
VELOCIDADE NA CÉLULA  = 8,6 M3/H  / LW (DB(A)=38 / NÚMERO DE CÉLULAS =3                                                                                                                                                                                                                                                                           LARGURA/ALTURA/COMPRIMENTO = 1000/500/1200 MM / PESO = 66 KG
FREQUENCIA/ATENUAÇÃO  -    63HZ/3   125/10   250/19  500/19  1000/23  2000/17  4000/12  8000/11   
REF.:BERLINER LUFT OU EQUIVALENTE                                                                                                                                                                                                                                                    </t>
  </si>
  <si>
    <t>3.5.1.10.9</t>
  </si>
  <si>
    <t>ATN-008</t>
  </si>
  <si>
    <t xml:space="preserve">ATENUADOR DE RUÍDO COM CARCAÇA E CÉLULAS DE CHAPA GALVANIZADA, COM MATERIAL DE ABSORÇÃO EM LÂ MINERAL REVESTIDO COM TELA DE VIDRO. MODELO KS-200 - ATR-08
VAZÃO DE AR  = 6766 M3/H
PERDA DE CARGA =39 PA
VELOCIDADE NA CÉLULA  = 9,4 M3/H /  LW (DB(A)=40 / NÚMERO DE CÉLULAS =3 
LARGURA/ALTURA/COMPRIMENTO = 1000/500/1000 MM / PESO = 57 KG
FREQUENCIA/ATENUAÇÃO  -    63HZ/3   125/8   250/16  500/16  1000/20  2000/15  4000/11  8000/10  
REF.:BERLINER LUFT OU EQUIVALENTE                                                                                                                                                                                                                                                    </t>
  </si>
  <si>
    <t>3.5.1.10.10</t>
  </si>
  <si>
    <t>ATN-009</t>
  </si>
  <si>
    <t xml:space="preserve">ATENUADOR DE RUÍDO COM CARCAÇA E CÉLULAS DE CHAPA GALVANIZADA, COM MATERIAL DE ABSORÇÃO EM LÂ MINERAL REVESTIDO COM TELA DE VIDRO. MODELO KS-200 - ATR-09
VAZÃO DE AR  =1245 M3/H
PERDA DE CARGA =33 PA
VELOCIDADE NA CÉLULA  = 6,9 M3/H / LW (DB(A)=30 / NÚMERO DE CÉLULAS =2
LARGURA/ALTURA/COMPRIMENTO = 500/500/1000 MM / PESO = 33 KG
FREQUENCIA/ATENUAÇÃO  -    63HZ/6   125/14   250/32  500/33  1000/40  2000/39  4000/26  8000/19   
REF.:BERLINER LUFT OU EQUIVALENTE                                                                                                                                                                                                                                                    </t>
  </si>
  <si>
    <t>3.5.1.10.11</t>
  </si>
  <si>
    <t>ATN-010</t>
  </si>
  <si>
    <t xml:space="preserve">ATENUADOR DE RUÍDO COM CARCAÇA E CÉLULAS DE CHAPA GALVANIZADA, COM MATERIAL DE ABSORÇÃO EM LÂ MINERAL REVESTIDO COM TELA DE VIDRO. MODELO KS-200 - ATR-10
VAZÃO DE AR  =9570 M3/H
PERDA DE CARGA =51 PA
VELOCIDADE NA CÉLULA  = 10,6 M3/H / LW (DB(A)=45 / NÚMERO DE CÉLULAS =4
LARGURA/ALTURA/COMPRIMENTO = 1300/500/1000 MM / PESO = 72 KG
FREQUENCIA/ATENUAÇÃO  -    63HZ/3   125/9   250/17  500/17  1000/21  2000/16  4000/12  8000/11   
REF.:BERLINER LUFT OU EQUIVALENTE                                                                                                                                                                                                                                                    </t>
  </si>
  <si>
    <t>3.5.1.10.12</t>
  </si>
  <si>
    <t>ATN-011</t>
  </si>
  <si>
    <t xml:space="preserve">ATENUADOR DE RUÍDO COM CARCAÇA E CÉLULAS DE CHAPA GALVANIZADA, COM MATERIAL DE ABSORÇÃO EM LÂ MINERAL REVESTIDO COM TELA DE VIDRO. MODELO KS-200 - ATR-11
VAZÃO DE AR  =12700 M3/H
PERDA DE CARGA =40 PA
VELOCIDADE NA CÉLULA  = 9,2 M3/H  / LW (DB(A)=41 / NÚMERO DE CÉLULAS =4                                                                                                                                                                                                                                                                           LARGURA/ALTURA/COMPRIMENTO = 1300/500/1200 MM / PESO = 84 KG 
FREQUENCIA/ATENUAÇÃO  -    63HZ/3   125/10   250/20  500/20  1000/25  2000/18  4000/13  8000/12   
REF.:BERLINER LUFT OU EQUIVALENTE                                                                                                                                                                                                                                                    </t>
  </si>
  <si>
    <t>3.5.1.10.13</t>
  </si>
  <si>
    <t>ATN-012</t>
  </si>
  <si>
    <t xml:space="preserve">ATENUADOR DE RUÍDO COM CARCAÇA E CÉLULAS DE CHAPA GALVANIZADA, COM MATERIAL DE ABSORÇÃO EM LÂ MINERAL REVESTIDO COM TELA DE VIDRO. MODELO KS-200 - ATR-12
VAZÃO DE AR  =4690 M3/H
PERDA DE CARGA =73 PA
VELOCIDADE NA CÉLULA  = 10,9 M3/H   / LW (DB(A)=44  / NÚMERO DE CÉLULAS =3
LARGURA/ALTURA/COMPRIMENTO = 800/600/1000 MM  /  PESO = 59 KG
FREQUENCIA/ATENUAÇÃO  -    63HZ/5   125/13   250/27  500/28  1000/35  2000/32  4000/21  8000/17   
REF.:BERLINER LUFT OU EQUIVALENTE                                                                                                                                                                                                                                                    </t>
  </si>
  <si>
    <t>3.5.1.10.14</t>
  </si>
  <si>
    <t>ATN-013</t>
  </si>
  <si>
    <t xml:space="preserve">ATENUADOR DE RUÍDO COM CARCAÇA E CÉLULAS DE CHAPA GALVANIZADA, COM MATERIAL DE ABSORÇÃO EM LÂ MINERAL REVESTIDO COM TELA DE VIDRO. MODELO KS-200 - ATR-13
VAZÃO DE AR  =5660 M3/H
PERDA DE CARGA =27 PA
VELOCIDADE NA CÉLULA  = 9,4 M3/H /  LW (DB(A)=38 / NÚMERO DE CÉLULAS =3
LARGURA/ALTURA/COMPRIMENTO = 1000/500/1000 MM / PESO = 57 KG
FREQUENCIA/ATENUAÇÃO  -    63HZ/3   125/8   250/16  500/16  1000/20  2000/15  4000/11  8000/10    REF.:BERLINER LUFT OU EQUIVALENTE                                                                                                                                                                                                                                                    </t>
  </si>
  <si>
    <t>3.5.1.10.15</t>
  </si>
  <si>
    <t>ATN-014</t>
  </si>
  <si>
    <t xml:space="preserve">ATENUADOR DE RUÍDO COM CARCAÇA E CÉLULAS DE CHAPA GALVANIZADA, COM MATERIAL DE ABSORÇÃO EM LÂ MINERAL REVESTIDO COM TELA DE VIDRO. MODELO KS-200 - ATR-14
VAZÃO DE AR  =7275 M3/H
PERDA DE CARGA =45 PA
VELOCIDADE NA CÉLULA  = 10,1 M3/H  / LW (DB(A)=72 / NÚMERO DE CÉLULAS =3
LARGURA/ALTURA/COMPRIMENTO = 1000/500/1000 MM / PESO = 57 KG
FREQUENCIA/ATENUAÇÃO  -    63HZ/3   125/8   250/16  500/16  1000/20  2000/15  4000/11  8000/10   
REF.:BERLINER LUFT OU EQUIVALENTE                                                                                                                                                                                                                                                    </t>
  </si>
  <si>
    <t>3.5.2.1</t>
  </si>
  <si>
    <t>CTL-001</t>
  </si>
  <si>
    <t>SENSOR DE NÍVEL DE  CO2 PARA AR COM FAIXA DE MEDIDA DE  0 A 2000 PPM. MODELO 22DC-51. SINAL DE  SAÍDA  = 0-10 V (0-5V)  - MICRO-SWITCH. ALIMENTAÇÃO ELÉTRICA (AC/DC) = 24V OBS.: O "SET-POINT" DO SENSOR DEVERÁ SER DE  1.000 PPM.  REF.: BELIMO OU EQUIVALENTE</t>
  </si>
  <si>
    <t>3.5.2.2</t>
  </si>
  <si>
    <t>CTL-002</t>
  </si>
  <si>
    <t>ATUADOR PROPORCIONAL ACOPLAMENTO DIRETO TORQUE 180 IN.LB(20NM). MODELO AMB24-SR.  SINAL DE  CONTROLE  = 0-10 V (4-20MA). ALIMENTAÇÃO ELÉTRICA (AC/DC) = 24V
OBS.: O ATUADOR DEVERÁ PARAR NO FINAL DO CURSO. REF.: BELIMO OU EQUIVALENTE</t>
  </si>
  <si>
    <t>3.5.3.1</t>
  </si>
  <si>
    <t>Dutos de Chapa Galvanizada Isolados</t>
  </si>
  <si>
    <t>3.5.3.1.1</t>
  </si>
  <si>
    <t>CHP-005</t>
  </si>
  <si>
    <t xml:space="preserve">FORNECIMENTO E INSTALAÇÃO DE DUTO EM CHAPA DE AÇO GALVANIZADA #20, INCLUSIVE FIXAÇÕES, SUPORTES, CONEXÕES. (APROXIMADAMENTE 2,74KG POR M2), INCLUSO SUPORTES, PARAFUSOS, PORCAS, ARRUELAS, CHUMBADORES </t>
  </si>
  <si>
    <t>KG</t>
  </si>
  <si>
    <t>3.5.3.1.2</t>
  </si>
  <si>
    <t>CHP-006</t>
  </si>
  <si>
    <t>FORNECIMENTO E INSTALAÇÃO DE DUTO EM CHAPA DE AÇO GALVANIZADA #22, INCLUSIVE FIXAÇÕES, SUPORTES, CONEXÕES. (APROXIMADAMENTE 2,28KG POR M2), INCLUSO SUPORTES, PARAFUSOS, PORCAS, ARRUELAS, CHUMBADORES</t>
  </si>
  <si>
    <t>3.5.3.1.3</t>
  </si>
  <si>
    <t>CHP-007</t>
  </si>
  <si>
    <t>FORNECIMENTO E INSTALAÇÃO DE DUTO EM CHAPA DE AÇO GALVANIZADA #24, INCLUSIVE FIXAÇÕES, SUPORTES, CONEXÕES. (APROXIMADAMENTE 1,94KG POR M2), INCLUSO SUPORTES, PARAFUSOS, PORCAS, ARRUELAS, CHUMBADORES</t>
  </si>
  <si>
    <t>3.5.3.1.4</t>
  </si>
  <si>
    <t>CHP-008</t>
  </si>
  <si>
    <t>FORNECIMENTO E INSTALAÇÃO DE DUTO EM CHAPA DE AÇO GALVANIZADA #26, INCLUSIVE FIXAÇÕES, SUPORTES, CONEXÕES. (APROXIMADAMENTE 1,55KG POR M2), INCLUSO SUPORTES, PARAFUSOS, PORCAS, ARRUELAS, CHUMBADORES</t>
  </si>
  <si>
    <t>3.5.3.1.5</t>
  </si>
  <si>
    <t>CHP-009</t>
  </si>
  <si>
    <t>FELTRO DE LÃ DE VIDRO REVESTIDO EM UM FACE COM KRAFT ALUMINIZADO COM 38 MM ESPESSURA, ISOFLEX RT-1.0 - 38 MM. REF.: SAINT-GOBAIN</t>
  </si>
  <si>
    <t>3.5.3.2</t>
  </si>
  <si>
    <t>Dutos Flexíveis Isolados</t>
  </si>
  <si>
    <t>3.5.3.2.1</t>
  </si>
  <si>
    <t>DUT-001</t>
  </si>
  <si>
    <t>DUTO FLEXÍVEL ISOLADO E ACÚSTICO, FABRICADOS EXTERNAMENTE EM FOLHA DE ALUMÍNIO, ARAME EM AÇO CARBONO, ISOLAMENTO  DE LÂ DE VIDRO 16 KG/M3, DUTO INTERNO EM FOLHA DE ALUMÍNIO COM MICRO FUROS.  MODELO SONODEC RT 1.2 - DIÂMETRO = 10" (263 MM). REF.: MULTIVAC OU EQUIVALENTE, INCLUSIVE SUPORTES E ABRAÇADEIRA</t>
  </si>
  <si>
    <t>3.5.3.2.2</t>
  </si>
  <si>
    <t>DUT-002</t>
  </si>
  <si>
    <t>DUTO FLEXÍVEL ISOLADO E ACÚSTICO, FABRICADOS EXTERNAMENTE EM FOLHA DE ALUMÍNIO, ARAME EM AÇO CARBONO, ISOLAMENTO  DE LÂ DE VIDRO 16 KG/M3, DUTO INTERNO EM FOLHA DE ALUMÍNIO COM MICRO FUROS.  MODELO SONODEC RT 1.2 - DIÂMETRO = 8" (209 MM). REF.: MULTIVAC OU EQUIVALENTE, INCLUSIVE SUPORTES E ABRAÇADEIRA</t>
  </si>
  <si>
    <t>3.5.3.2.3</t>
  </si>
  <si>
    <t>DUT-003</t>
  </si>
  <si>
    <t>DUTO FLEXÍVEL ISOLADO E ACÚSTICO, FABRICADOS EXTERNAMENTE EM FOLHA DE ALUMÍNIO, ARAME EM AÇO CARBONO, ISOLAMENTO  DE LÂ DE VIDRO 16 KG/M3, DUTO INTERNO EM FOLHA DE ALUMÍNIO COM MICRO FUROS.  MODELO SONODEC RT 1.2 - DIÂMETRO = 6" (161 MM). REF.: MULTIVAC OU EQUIVALENTE INCLUSIVE SUPORTES E ABRAÇADEIRA</t>
  </si>
  <si>
    <t>3.5.4.1</t>
  </si>
  <si>
    <t>GAB-001</t>
  </si>
  <si>
    <t>GABINETE DE VENTILAÇÃO DOTADO DE MICRO VENTILADOR CENTRÍFUGO TIPO "SIROCCO", MODELO MGD 160; GAB-01, GAB-2 E GAB-03; VAZÃO DE AR INSUFLADO = 325 M3/H. PRESSÃO ESTÁTICA EXTERNA DISPONÍVEL = 12 MMCA. POTÊNCIA MOTOR DO VENTILADOR = 0,05 KW (220V/2Ø/60HZ). DIMENSÕES DA UNIDADE (C/L/H) = 420/420/385 MM. PESO DA UNIDADE = 9 KG. REF.: BERLINER-LUFT  OU EQUIVALENTE</t>
  </si>
  <si>
    <t>3.5.5.1</t>
  </si>
  <si>
    <t>CDA-001</t>
  </si>
  <si>
    <t>CORTINA DE AR MODELO ACF09S5, COM CONTROLE REMOTO. CORT-01, CORT-02, CORT-04, CORT-05  E CORT-06. MOTOR ELÉTRICO = 190 W (220V/2Ø/60HZ), DIMENSÕES (A/L/P)= 210/900/190 MM. REF. SPRINGER CARRIER  OU EQUIVALENTE</t>
  </si>
  <si>
    <t>3.5.6.1</t>
  </si>
  <si>
    <t>PNL-001</t>
  </si>
  <si>
    <t>PAINEL DE AUTOMAÇÃO QCOM-1-3PB-1</t>
  </si>
  <si>
    <t>3.5.6.2</t>
  </si>
  <si>
    <t>PNL-002</t>
  </si>
  <si>
    <t>PAINEL DE AUTOMAÇÃO QCOM-1-3PB-2</t>
  </si>
  <si>
    <t>3.5.6.3</t>
  </si>
  <si>
    <t>PNL-003</t>
  </si>
  <si>
    <t>PAINEL DE AUTOMAÇÃO QCOM-1-3PB-3</t>
  </si>
  <si>
    <t>3.5.6.4</t>
  </si>
  <si>
    <t>PNL-004</t>
  </si>
  <si>
    <t>PAINEL ELÉTRICO FC-3B1</t>
  </si>
  <si>
    <t>3.5.6.5</t>
  </si>
  <si>
    <t>PNL-005</t>
  </si>
  <si>
    <t>PAINEL ELÉTRICO FC-3B2/3B3</t>
  </si>
  <si>
    <t>3.5.6.6</t>
  </si>
  <si>
    <t>PNL-006</t>
  </si>
  <si>
    <t>PAINEL ELÉTRICO FC-3B4</t>
  </si>
  <si>
    <t>3.5.6.7</t>
  </si>
  <si>
    <t>CAB-001</t>
  </si>
  <si>
    <t>CABO DE CONTROLE 450/750V 1x2C#1,5mm²</t>
  </si>
  <si>
    <t>3.5.6.8</t>
  </si>
  <si>
    <t>CAB-002</t>
  </si>
  <si>
    <t>CABO DE CONTROLE 450/750V 1x3C#1,5mm²</t>
  </si>
  <si>
    <t>3.5.6.9</t>
  </si>
  <si>
    <t>3.5.6.10</t>
  </si>
  <si>
    <t>ED-48365</t>
  </si>
  <si>
    <t>CABO UTP 4 PARES CATEGORIA 6 COM REVESTIMENTO EXTERNO NÃO PROPAGANTE À CHAMA</t>
  </si>
  <si>
    <t>3.5.6.11</t>
  </si>
  <si>
    <t>CAIXA RETANGULAR 4" X 2" ALTA (2,00 M DO PISO), PVC, INSTALADA EM PAREDE - FORNECIMENTO E INSTALAÇÃO</t>
  </si>
  <si>
    <t>3.5.6.12</t>
  </si>
  <si>
    <t>ELETRODUTO RÍGIDO DE PVC, DN 25 MM (3/4"), PARA CIRCUITOS TERMINAIS, INSTALADO EM PAREDE - FORNECIMENTO E INSTALAÇÃO</t>
  </si>
  <si>
    <t>3.5.6.13</t>
  </si>
  <si>
    <t>3.5.6.14</t>
  </si>
  <si>
    <t>3.5.6.15</t>
  </si>
  <si>
    <t>3.5.6.16</t>
  </si>
  <si>
    <t>3.5.6.17</t>
  </si>
  <si>
    <t>3.5.6.18</t>
  </si>
  <si>
    <t>3.5.6.19</t>
  </si>
  <si>
    <t>3.5.6.20</t>
  </si>
  <si>
    <t>3.5.6.21</t>
  </si>
  <si>
    <t>3.5.6.22</t>
  </si>
  <si>
    <t>IEL-007</t>
  </si>
  <si>
    <t>PRENSA-CABO EM ALUMÍNIO Ø3/4", ROSCA BSP</t>
  </si>
  <si>
    <t>3.5.6.23</t>
  </si>
  <si>
    <t>3.6.1.1</t>
  </si>
  <si>
    <t>PROJETO "AS BUILT" DE INSTALAÇÕES ELÉTRICAS, LÓGICA E TELEFONIA DO 3º PAV ALA B</t>
  </si>
  <si>
    <t>3.6.1.2</t>
  </si>
  <si>
    <t>PROJETO "AS BUILT" DE CLIMATIZAÇÃO DO 3º PAVIMENTO ALA B</t>
  </si>
  <si>
    <t>3.6.2.1</t>
  </si>
  <si>
    <t>LIMPEZA FINAL DA OBRA DO 3º PAVIMENTO ALA B</t>
  </si>
  <si>
    <t>RESUMO:</t>
  </si>
  <si>
    <t>CURVA ABC</t>
  </si>
  <si>
    <t>GRÁFICO ABC</t>
  </si>
  <si>
    <t>% DO TOTAL</t>
  </si>
  <si>
    <t>% AUMULADO</t>
  </si>
  <si>
    <t>QUADRO ELÉTRICO TIPO CCM QDC-CAG</t>
  </si>
  <si>
    <t>SISTEMA DE CONTROLE SCP50-OPEN, PARA CONTROLE DA Conforme Lista de Materiais Climatização - CAG (CHILLER, BOMBAS PRIMÁRIAS E SECUNDÁRIAS), COMPLETO COM TODOS OS DISPOSITIVOS E SOFTWARE MONTADO EM PAINEL METALICO CLASSE DE PROTEÇÃO IP-65.  REF.: CARRIER OU EQUIVALENTEBOMBAS CENTRÍFUGASBOMBA CENTRÍFUGA, SUCÇÃO HORIZONTAL, DECARGA VERTICAL PARA CIMA, COM MOTOR ELÉTRICOMODELO NBG 125-100-315/334 AASJ2AESBQQESX4 - BAGS-01 E BAGS-02VAZÃO DE ÁGUA = 205 M3/HALTURA MANOMÉTRICA = 37,25 MCA</t>
  </si>
  <si>
    <t>TOTAL</t>
  </si>
  <si>
    <t>CRONOGRAMA FÍSICO-FINANCEIRO</t>
  </si>
  <si>
    <t xml:space="preserve">                                                                                                                                                                                                                                                                                                                                                                                                                                                                                                                                                                                                                                                                                                                                                                                                                                                                                                                                                                                                                                                                                                                                                                                                                                                                                                                                                                                                                                                                                                                                                                                                                                                                                                                                                                                                                                                                                                                                                                                                                                                                                                                                                                                                                                                                                                                                                                                                                                                                                                                                                                                                                                                                                                                                                                                                                                                                                                                                                                                                                                                                                                                                                                                                                                                                                                                                                                                                                                                                                                                                                                                                                                                                                                                                                                                                                                                                                                                                                                                                                                                                                                                                                                                                                                                                                                                                                                                                                                                                                                                                                                                                                                                                                                                                                                                                                                                                                                                                                                                                                                                                                                                                                                                                                                                                                                                                                                                                                                                                                                                                                                                                                                                                                                                                                                                                                                                                                                                                                                                                                                                                                                                                                                                                                                                                                                                                                                                                                                                                                                                                                                                                                                                                                                                                                                                                                                                                                                                                                                                                                                                                                                                                                                                                                                                                                                                                                                                                                                                                                                                                                                                                                                                                                                                                                                                                                                                                                                                                                                                                                                                                                                                                                                                                                                                                                                                                                                                                                                                                                                                                                                                                                                                                                                                                                                                                                                                                                                                                                                                                                                                                                                                                                                                                                                                                                                                                                                                                                                                                                                                                                                                                                                                                                                                                                                                                                                                                                                                                                                                                                                                                                                                                                                                                                                                        </t>
  </si>
  <si>
    <t>DISCRIMINAÇÃO DOS SERVIÇOS</t>
  </si>
  <si>
    <t>TEMPO DE OBRA</t>
  </si>
  <si>
    <t>TOTAL DO ITEM
(R$)</t>
  </si>
  <si>
    <t>Mês 1</t>
  </si>
  <si>
    <t>Mês 2</t>
  </si>
  <si>
    <t>Mês 3</t>
  </si>
  <si>
    <t>Mês 4</t>
  </si>
  <si>
    <t>Mês 5</t>
  </si>
  <si>
    <t>Mês 6</t>
  </si>
  <si>
    <t>Mês 7</t>
  </si>
  <si>
    <t>Mês 8</t>
  </si>
  <si>
    <t>Mês 9</t>
  </si>
  <si>
    <t>Mês 10</t>
  </si>
  <si>
    <t>Mês 11</t>
  </si>
  <si>
    <t>Mês 12</t>
  </si>
  <si>
    <t>TOTAIS GERAIS (R$ POR ETAPA)</t>
  </si>
  <si>
    <t>PORCENTAGENS EM RELAÇÃO AO VALOR TOTAL DA OBRA (%)</t>
  </si>
  <si>
    <r>
      <t xml:space="preserve">MEMÓRIA DE CÁLCULO </t>
    </r>
    <r>
      <rPr>
        <sz val="16"/>
        <rFont val="Calibri"/>
        <family val="2"/>
        <scheme val="minor"/>
      </rPr>
      <t>- Geral</t>
    </r>
  </si>
  <si>
    <t>REFERÊNCIA</t>
  </si>
  <si>
    <t>DESCRIÇÃO</t>
  </si>
  <si>
    <t>ÁREA</t>
  </si>
  <si>
    <t>COMPRIM.</t>
  </si>
  <si>
    <t>LARGURA</t>
  </si>
  <si>
    <t>ALTURA</t>
  </si>
  <si>
    <t>DESCONTOS</t>
  </si>
  <si>
    <t>RESULTADO</t>
  </si>
  <si>
    <t>OBSERVAÇÃO</t>
  </si>
  <si>
    <t>ED-21772</t>
  </si>
  <si>
    <t>Tempo de obra</t>
  </si>
  <si>
    <t>ENGENHEIROMECÂNICO COM ENCARGOS COMPLEMENTARES</t>
  </si>
  <si>
    <t>1.1.3</t>
  </si>
  <si>
    <t>Tempo de obra - Elétrica e Ar Condicionado</t>
  </si>
  <si>
    <t>1.1.4</t>
  </si>
  <si>
    <t xml:space="preserve">LOCACAO DE CONTAINER 2,30 X 6,00 M, ALT. 2,50 M, COM 1 SANITARIO, PARA ESCRITORIO, COMPLETO, SEM DIVISORIAS INTERNAS (NAO INCLUI MOBILIZACAO/DESMOBILIZACAO)                                                                                                                                                                                                                                                                                                                                              </t>
  </si>
  <si>
    <t>Escritório</t>
  </si>
  <si>
    <t>1.2.2</t>
  </si>
  <si>
    <t xml:space="preserve">LOCACAO DE CONTAINER 2,30 X 4,30 M, ALT. 2,50 M, PARA SANITARIO, COM 3 BACIAS, 4 CHUVEIROS, 1 LAVATORIO E 1 MICTORIO (NAO INCLUI MOBILIZACAO/DESMOBILIZACAO)                                                                                                                                                                                                                                                                                                                                              </t>
  </si>
  <si>
    <t>Vestiário</t>
  </si>
  <si>
    <t>1.2.3</t>
  </si>
  <si>
    <t xml:space="preserve">LOCACAO DE CONTAINER 2,30 X 6,00 M, ALT. 2,50 M, PARA ESCRITORIO, SEM DIVISORIAS INTERNAS E SEM SANITARIO (NAO INCLUI MOBILIZACAO/DESMOBILIZACAO)                                                                                                                                                                                                                                                                                                                                                         </t>
  </si>
  <si>
    <t>Refeitório</t>
  </si>
  <si>
    <t>1.2.4</t>
  </si>
  <si>
    <t>ED-16342</t>
  </si>
  <si>
    <t>LIGAÇÃO PROVISÓRIA DE ENERGIA ELÉTRICA PARA CONTAINER</t>
  </si>
  <si>
    <t>Canteiro de Obra</t>
  </si>
  <si>
    <t>1.2.5</t>
  </si>
  <si>
    <t>ED-16343</t>
  </si>
  <si>
    <t>LIGAÇÃO PROVISÓRIA DE ÁGUA E ESGOTO PARA CONTAINER (VESTIÁRIO DE OBRA), EXCLUSIVE CHUVEIRO ELÉTRICO</t>
  </si>
  <si>
    <t>1.2.6</t>
  </si>
  <si>
    <t>1.2.7</t>
  </si>
  <si>
    <t>Placa de obra</t>
  </si>
  <si>
    <t>1.2.8</t>
  </si>
  <si>
    <t>3º Pavimento</t>
  </si>
  <si>
    <t>Limpeza de Permanente de Obra</t>
  </si>
  <si>
    <t>CONECTORES/TERMINAIS</t>
  </si>
  <si>
    <t>Prédio Principal</t>
  </si>
  <si>
    <t>Prédio Anexo</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</si>
  <si>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</si>
  <si>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</si>
  <si>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</si>
  <si>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</si>
  <si>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</si>
  <si>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</si>
  <si>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</si>
  <si>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</si>
  <si>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</si>
  <si>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</si>
  <si>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</si>
  <si>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</si>
  <si>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</si>
  <si>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</si>
  <si>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</si>
  <si>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</si>
  <si>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</si>
  <si>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</si>
  <si>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</si>
  <si>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</si>
  <si>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</si>
  <si>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</si>
  <si>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</si>
  <si>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3.1.26</t>
  </si>
  <si>
    <t>3.1.27</t>
  </si>
  <si>
    <t>3.1.28</t>
  </si>
  <si>
    <t>Iluminação Externa</t>
  </si>
  <si>
    <t>ED-48989</t>
  </si>
  <si>
    <t>CABO DE COBRE FLEXÍVEL, CLASSE 5, ISOLAMENTO TIPO EPR/HEPR, NÃO HALOGENADO, ANTICHAMA, TERMOFIXO, UNIPOLAR, SEÇÃO 2,5 MM2, 90°C, 0,6/1KV</t>
  </si>
  <si>
    <t>CABO DE COBRE FLEXÍVEL, CLASSE 5, ISOLAMENTO TIPO EPR/HEPR, NÃO HALOGENADO, ANTICHAMA, TERMOFIXO, UNIPOLAR, SEÇÃO 4 MM2, 90°C, 0,6/1KV</t>
  </si>
  <si>
    <t>3.2.3</t>
  </si>
  <si>
    <t>3.2.4</t>
  </si>
  <si>
    <t>3.2.5</t>
  </si>
  <si>
    <t xml:space="preserve">LUMINÁRIA DE ILUMINAÇÃO PÚBLICA, FABRICADA EM PERFIL DE ALUMÍNIO EXTRUDADO E CHAPA DE ALUMÍNIO, FLUXO LUMINOSO DE 9520lm, 78W DE POTÊNCIA, TENSÃO DE ENTRADA DE 100 A 250V, 50/60HZ, GRAU DE PROTEÇÃO IP67; </t>
  </si>
  <si>
    <t>3.2.6</t>
  </si>
  <si>
    <t xml:space="preserve">REFLETOR LED (COM DRIVER E RABICHO), 39W, CIRCULAR DE EMBUTIR EM PISO, FLUXO LUMINOSO 4.800m, E EFICACIA LUMINOSA MÍNIMA DE 123LM/W, EMISSÃO DE LUZ NA COR 4000K, CORPO EM ALUMÍNIO E GRADE DE AÇO INOX COM VIDRO TEMPERADO - REF. SCHÉDER TERRA MIDI LED OU EQUIVALENTE. </t>
  </si>
  <si>
    <t>3.2.7</t>
  </si>
  <si>
    <t>ED-13353</t>
  </si>
  <si>
    <t>REFLETOR LED (COM DRIVER E RABICHO), 5W, FIXAÇÃO EM PISO, FLUXO LUMINOSO 300lm, E EFICACIA LUMINOSA MÍNIMA DE 60LM/W, EMISSÃO DE LUZ NA COR 4000K, CORPO EM ALUMÍNIO COM PINTURA MICROTEXTURIZADA NA COR BRANCA - REF. SCHÉDER ENYO OU EQUIVALENTE</t>
  </si>
  <si>
    <t>3.2.8</t>
  </si>
  <si>
    <t>ED-13354</t>
  </si>
  <si>
    <t xml:space="preserve">REFLETOR LED (COM DRIVER E RABICHO), 5W, EMBUTIDO EM PISO, FLUXO LUMINOSO 300lm, E EFICACIA LUMINOSA MÍNIMA DE 60LM/W, EMISSÃO DE LUZ NA COR 4000K OU RGB, CORPO EM ALUMÍNIO E GRADE DE AÇO INOX COM VIDRO TEMPERADO - REF. SCHÉDER PONTO OU EQUIVALENTE. </t>
  </si>
  <si>
    <t>3.2.9</t>
  </si>
  <si>
    <t>ED-49496</t>
  </si>
  <si>
    <t>PROJETOR LED (COM DRIVER E RABICHO), 45W, FIXAÇÃO EM TETO, FLUXO LUMINOSO 5.000lm, E EFICACIA LUMINOSA MÍNIMA DE 111LM/W, EMISSÃO DE LUZ NA COR 4000K OU RGB, CORPO EM ALUMÍNIO COM PINTURA MICROTEXTURIZADA NA COR PRETA - REF. SCHÉDER SCULPLINE 50 OU EQUIVALENTE</t>
  </si>
  <si>
    <t>3.2.10</t>
  </si>
  <si>
    <t>11.54.03</t>
  </si>
  <si>
    <t xml:space="preserve">PROJETOR LED (COM DRIVER E RABICHO), 70W, FIXAÇÃO EM MASTRO EXTENSOR, FLUXO LUMINOSO 5.700lm, E EFICACIA LUMINOSA MÍNIMA DE 81LM/W, EMISSÃO DE LUZ NA COR 4000K, CORPO EM ALUMÍNIO COM PINTURA MICROTEXTURIZADA NA COR PRETA - REF. SCHÉDER SCULPFLOOD 60 OU EQUIVALENTE. </t>
  </si>
  <si>
    <t>3.2.11</t>
  </si>
  <si>
    <t xml:space="preserve">CAIXA DE PASSAGEM EM POLIPROPILENO DE ALTA RESISTÊNCIA, DIMENSÕES 30x30x27cm EMBUTIDA NO SOLO. REF.: MARCA FUMINAS MODELO LINHA STANDER OU EQUIVALENTE. </t>
  </si>
  <si>
    <t>3.2.12</t>
  </si>
  <si>
    <t>ED-49165</t>
  </si>
  <si>
    <t xml:space="preserve">CAIXA DE PASSAGEM COM TAMPA REVERSÍVEL EM LIGA DE ALUMÍNIO SILÍCIO, DIM.: 15x15x10cm - REF.: WETZEL OU EQUIVALENTE. </t>
  </si>
  <si>
    <t>3.2.13</t>
  </si>
  <si>
    <t>QDE-001</t>
  </si>
  <si>
    <t>QUADRO ELÉTRICO (QDF-GUA)</t>
  </si>
  <si>
    <t>3.2.14</t>
  </si>
  <si>
    <t>QDE-002</t>
  </si>
  <si>
    <t>QUADRO ELÉTRICO (QCI-A.EXT.)</t>
  </si>
  <si>
    <t>3.2.15</t>
  </si>
  <si>
    <t>ED-4155</t>
  </si>
  <si>
    <t>DUTO CORRUGADO EM PEAD (POLIETILENO DE ALTA DENSIDADE), PARA PROTEÇÃO DE CABOS SUBTERRÂNEOS DN 30 MM (1.1/4")</t>
  </si>
  <si>
    <t>3.2.16</t>
  </si>
  <si>
    <t>ED-49295</t>
  </si>
  <si>
    <t>DUTO CORRUGADO EM PEAD (POLIETILENO DE ALTA DENSIDADE), PARA PROTEÇÃO DE CABOS SUBTERRÂNEOS DN 30 MM (1.1/2")</t>
  </si>
  <si>
    <t>3.2.17</t>
  </si>
  <si>
    <t>ED-49317</t>
  </si>
  <si>
    <t>ELETRODUTO DE AÇO GALVANIZADO LEVE, INCLUSIVE CONEXÕES, SUPORTES E FIXAÇÃO DN 20 (3/4")</t>
  </si>
  <si>
    <t>3.2.18</t>
  </si>
  <si>
    <t>3.2.19</t>
  </si>
  <si>
    <t>3.2.20</t>
  </si>
  <si>
    <t>4.1</t>
  </si>
  <si>
    <t>4.1.1</t>
  </si>
  <si>
    <t>PROJETO "AS BUILT" DE INSTALAÇÕES ELÉTRICAS/ SPDA</t>
  </si>
  <si>
    <r>
      <t>MEMÓRIA DE CÁLCULO</t>
    </r>
    <r>
      <rPr>
        <sz val="16"/>
        <rFont val="Calibri"/>
        <family val="2"/>
        <scheme val="minor"/>
      </rPr>
      <t xml:space="preserve"> - CAG</t>
    </r>
  </si>
  <si>
    <t>CAG/ EDIFÍCIO ANEXO</t>
  </si>
  <si>
    <t>Remanejamento para local provisório</t>
  </si>
  <si>
    <t>1.1.5</t>
  </si>
  <si>
    <t>m3</t>
  </si>
  <si>
    <t>2.1.6</t>
  </si>
  <si>
    <t>2.1.7</t>
  </si>
  <si>
    <t>Material Demolido</t>
  </si>
  <si>
    <t>m</t>
  </si>
  <si>
    <t>INSTALAÇÕES ELÉTRICAS E LÓGICA - ED. ANEXO</t>
  </si>
  <si>
    <t>Iluminação Comum (1º Pav.)</t>
  </si>
  <si>
    <t>Iluminação Comum (2º Pav.)</t>
  </si>
  <si>
    <t>Alimentadores</t>
  </si>
  <si>
    <t>Tomadas (1º Pav.)</t>
  </si>
  <si>
    <t>Tomadas (2º Pav.)</t>
  </si>
  <si>
    <t>ED-48961</t>
  </si>
  <si>
    <t>CABO DE COBRE FLEXÍVEL, CLASSE 5, ISOLAMENTO TIPO LSHF/ATOX, NÃO HALOGENADO, ANTICHAMA, TERMOPLÁSTICO, UNIPOLAR, SEÇÃO 6 MM2, 70°C, 450/750V</t>
  </si>
  <si>
    <t>CABO DE COBRE FLEXÍVEL, CLASSE 5, ISOLAMENTO TIPO EPR/HEPR, NÃO HALOGENADO, ANTICHAMA, TERMOFIXO, UNIPOLAR, SEÇÃO 120 MM2, 90°C, 0,6/1KV</t>
  </si>
  <si>
    <t>Conforme Lista de Materiais</t>
  </si>
  <si>
    <t>CAIXA RETANGULAR 4" X 2" BAIXA (0,30 M DO PISO), PVC, INSTALADA EM PAREDE - FORNECIMENTO E INSTALAÇÃO</t>
  </si>
  <si>
    <t>CAIXA RETANGULAR 4" X 2" MÉDIA (1,30 M DO PISO), PVC, INSTALADA EM PAREDE - FORNECIMENTO E INSTALAÇÃO</t>
  </si>
  <si>
    <t>SUPORTE PARAFUSADO COM PLACA DE ENCAIXE 4" X 2" BAIXO (0,30 M DO PISO) PARA PONTO ELÉTRICO - FORNECIMENTO E INSTALAÇÃO</t>
  </si>
  <si>
    <t>SUPORTE PARAFUSADO COM PLACA DE ENCAIXE 4" X 2" MÉDIO (1,30 M DO PISO) PARA PONTO ELÉTRICO - FORNECIMENTO E INSTALAÇÃO.</t>
  </si>
  <si>
    <t>Alimentador (1º Pav.)</t>
  </si>
  <si>
    <t>ED-49298</t>
  </si>
  <si>
    <t>DUTO CORRUGADO EM PEAD (POLIETILENO DE ALTA DENSIDADE), PARA PROTEÇÃO DE CABOS SUBTERRÂNEOS DN 100 MM (4")</t>
  </si>
  <si>
    <t>Alimentador (Pl. Geral)</t>
  </si>
  <si>
    <t>ELETRODUTO FLEXÍVEL CORRUGADO, PVC, DN 25 MM (3/4"), PARA CIRCUITOS TERMINAIS, INSTALADO EM PAREDE - FORNECIMENTO E INSTALAÇÃO</t>
  </si>
  <si>
    <t>ELETRODUTO FLEXÍVEL CORRUGADO, PVC, DN 25 MM (1"), PARA CIRCUITOS TERMINAIS, INSTALADO EM PAREDE - FORNECIMENTO E INSTALAÇÃO</t>
  </si>
  <si>
    <t>ELETRODUTO DE AÇO GALVANIZADO LEVE, INCLUSIVE CONEXÕES, SUPORTES E FIXAÇÃO DN 19 (3/4")</t>
  </si>
  <si>
    <t>3.1.29</t>
  </si>
  <si>
    <t>3.1.30</t>
  </si>
  <si>
    <t>ED-17954</t>
  </si>
  <si>
    <t>CONDULETE DE ALUMÍNIO, TIPO "B", DIÂMETRO DE SAÍDA 3/4" (20MM), EXCLUSIVE MÓDULO E PLACA, INCLUSIVE FIXAÇÃO</t>
  </si>
  <si>
    <t>3.1.31</t>
  </si>
  <si>
    <t>3.1.32</t>
  </si>
  <si>
    <t>3.1.33</t>
  </si>
  <si>
    <t>3.1.34</t>
  </si>
  <si>
    <t>3.1.35</t>
  </si>
  <si>
    <t>3.1.36</t>
  </si>
  <si>
    <t>3.1.37</t>
  </si>
  <si>
    <t>3.1.38</t>
  </si>
  <si>
    <t>ED-19519</t>
  </si>
  <si>
    <t>ELETROCALHA PERFURADA (100X50)MM EM CHAPA DE AÇO GALVANIZADO #18, COM TRATAMENTO PRÉ-ZINCADO, INCLUSIVE TAMPA DE ENCAIXE, FIXAÇÃO SUPERIOR, CONEXÕES E ACESSÓRIOS</t>
  </si>
  <si>
    <t>3.1.39</t>
  </si>
  <si>
    <t>3.1.40</t>
  </si>
  <si>
    <t>Iluminação e tomadas (1º Pav.)</t>
  </si>
  <si>
    <t>Iluminação e tomadas (2º Pav.)</t>
  </si>
  <si>
    <t>3.1.41</t>
  </si>
  <si>
    <t>ED-27074</t>
  </si>
  <si>
    <t>LUMINÁRIA LED (COM DRIVER E RABICHO), 36W, QUADRADA DE EMBUTIR, FLUXO LUMINOSO 4580lm, E EFICÁCIA LUMINOSA MÍNIMA DE 131LM/W, EMISSÃO DE LUZ NA COR 4000K, CORPO EM ALUMÍNIO COM PINTURA MICROTEXTURIZADA NA COR BRANCA - REF. LUMICENTER LHT43-E4000840 OU EQUIVALENTE</t>
  </si>
  <si>
    <t>3.1.42</t>
  </si>
  <si>
    <t>11.37.29</t>
  </si>
  <si>
    <t>LUMINÁRIA LED (COM DRIVER E RABICHO), 18,5W, REDONDA DE EMBUTIR, FLUXO LUMINOSO 2000lm, E EFICÁCIA LUMINOSA MÍNIMA DE 108LM/W, EMISSÃO DE LUZ NA COR 4000K, CORPO EM ALUMÍNIO COM PINTURA MICROTEXTURIZADA NA COR BRANCA - REF. LUMICENTER EF78-E2000840 OU EQUIVALENTE</t>
  </si>
  <si>
    <t>3.1.43</t>
  </si>
  <si>
    <t>3.1.44</t>
  </si>
  <si>
    <t>ED-49310</t>
  </si>
  <si>
    <t>ELETRODUTO DE PVC RÍGIDO ROSCÁVEL Ø=1.1/4", INCLUSIVE CONEXÕES</t>
  </si>
  <si>
    <t>3.1.45</t>
  </si>
  <si>
    <t>3.1.46</t>
  </si>
  <si>
    <t>3.1.47</t>
  </si>
  <si>
    <t>3.1.48</t>
  </si>
  <si>
    <t>CONDULETE DE ALUMÍNIO, TIPO "LL", DIÂMETRO DE SAÍDA 1" (25,4MM), EXCLUSIVE MÓDULO E PLACA, INCLUSIVE FIXAÇÃO</t>
  </si>
  <si>
    <t>3.1.49</t>
  </si>
  <si>
    <t>CONDULETE DE ALUMÍNIO, TIPO "LR", DIÂMETRO DE SAÍDA 1" (25,4MM), EXCLUSIVE MÓDULO E PLACA, INCLUSIVE FIXAÇÃO</t>
  </si>
  <si>
    <t>3.1.50</t>
  </si>
  <si>
    <t>CONDULETE DE ALUMÍNIO, TIPO "T", DIÂMETRO DE SAÍDA 1" (25,4MM), EXCLUSIVE MÓDULO E PLACA, INCLUSIVE FIXAÇÃO</t>
  </si>
  <si>
    <t>3.1.51</t>
  </si>
  <si>
    <t>ED-49090</t>
  </si>
  <si>
    <t>CONDULETE DE ALUMÍNIO, TIPO "T", DIÂMETRO DE SAÍDA 1.1/4" (25,4MM), EXCLUSIVE MÓDULO E PLACA, INCLUSIVE FIXAÇÃO</t>
  </si>
  <si>
    <t>3.1.52</t>
  </si>
  <si>
    <t>IEL-002</t>
  </si>
  <si>
    <t>CONDULETE DE ALUMÍNIO, TIPO "LL", DIÂMETRO DE SAÍDA 4" (25,4MM), EXCLUSIVE MÓDULO E PLACA, INCLUSIVE FIXAÇÃO</t>
  </si>
  <si>
    <t>3.1.53</t>
  </si>
  <si>
    <t>ELETRODUTO DE PVC RÍGIDO ROSCÁVEL Ø=2", INCLUSIVE CONEXÕES</t>
  </si>
  <si>
    <t>3.1.54</t>
  </si>
  <si>
    <t>ELETRODUTO DE PVC RÍGIDO ROSCÁVEL Ø=4", INCLUSIVE CONEXÕES</t>
  </si>
  <si>
    <t>3.1.55</t>
  </si>
  <si>
    <t>IEL-003</t>
  </si>
  <si>
    <t>LEITO DE CABOS DO TIPO LEVE, DIMENSÕES: 300x75cm</t>
  </si>
  <si>
    <t>3.1.56</t>
  </si>
  <si>
    <t>ED-49164</t>
  </si>
  <si>
    <t>CAIXA DE PASSAGEM EM ALUMÍNIO FUNDIDO, PARA PISO, 10x10cm, FORNECIMENTO E INSTALAÇÃO</t>
  </si>
  <si>
    <t>3.1.57</t>
  </si>
  <si>
    <t>IEL-004</t>
  </si>
  <si>
    <t>CAIXA DE PASSAGEM EM CHAPA DE AÇO 40x40x20cm</t>
  </si>
  <si>
    <t>3.1.58</t>
  </si>
  <si>
    <t>IEL-005</t>
  </si>
  <si>
    <t>CAIXA DE PASSAGEM EM CHAPA DE AÇO 40x40x80cm</t>
  </si>
  <si>
    <t>3.1.59</t>
  </si>
  <si>
    <t>QUADRO ELÉTRICO DE EMBUTIR QGBT</t>
  </si>
  <si>
    <t>3.1.60</t>
  </si>
  <si>
    <t>QDE-004</t>
  </si>
  <si>
    <t>QUADRO ELÉTRICO DE EMBUTIR QFAC</t>
  </si>
  <si>
    <t>3.1.61</t>
  </si>
  <si>
    <t>QDE-005</t>
  </si>
  <si>
    <t>QUADRO ELÉTRICO DE EMBUTIR QDIT-1º PAV</t>
  </si>
  <si>
    <t>3.1.62</t>
  </si>
  <si>
    <t>QDE-006</t>
  </si>
  <si>
    <t>QUADRO ELÉTRICO DE EMBUTIR QDIT-2º PAV</t>
  </si>
  <si>
    <t>3.1.63</t>
  </si>
  <si>
    <t>QDE-007</t>
  </si>
  <si>
    <t>QUADRO ELÉTRICO DE EMBUTIR QDF-GUA</t>
  </si>
  <si>
    <t>Cabeamento Estruturado (2º Pav.)</t>
  </si>
  <si>
    <t>ED-19521</t>
  </si>
  <si>
    <t>ELETROCALHA PERFURADA (150X50)MM EM CHAPA DE AÇO GALVANIZADO #18, COM TRATAMENTO PRÉ-ZINCADO, INCLUSIVE TAMPA DE ENCAIXE, FIXAÇÃO SUPERIOR, CONEXÕES E ACESSÓRIOS</t>
  </si>
  <si>
    <t>Cabeamento Estruturado (1º Pav.)</t>
  </si>
  <si>
    <t>ELETRODUTO DE PVC RÍGIDO ROSCÁVEL, DN 32 MM (1.1/4"), INCLUSIVE CONEXÕES, SUPORTES E FIXAÇÃO</t>
  </si>
  <si>
    <t>4.1.1.1</t>
  </si>
  <si>
    <t>Conforme Lista de Materiais Climatização - CAG</t>
  </si>
  <si>
    <t>4.1.1.2</t>
  </si>
  <si>
    <t>4.1.2</t>
  </si>
  <si>
    <t>4.1.2.1</t>
  </si>
  <si>
    <t>4.1.2.2</t>
  </si>
  <si>
    <t>4.1.2.3</t>
  </si>
  <si>
    <t>4.2</t>
  </si>
  <si>
    <t>4.2.1</t>
  </si>
  <si>
    <t>4.2.2</t>
  </si>
  <si>
    <t>4.2.3</t>
  </si>
  <si>
    <t>4.2.4</t>
  </si>
  <si>
    <t>4.2.5</t>
  </si>
  <si>
    <t>VAV-001</t>
  </si>
  <si>
    <t>VÁLVULA ESFERA SÉRIE MITE, EM LATÃO, ROSCA, NORMA ABNT NBR 6414, DIÂMETRO=1",PRESSÃO = 150 PSI. REF.: NIAGARA OU EQUIVALENTE</t>
  </si>
  <si>
    <t>4.2.6</t>
  </si>
  <si>
    <t>4.2.7</t>
  </si>
  <si>
    <t>4.2.8</t>
  </si>
  <si>
    <t>4.2.9</t>
  </si>
  <si>
    <t>4.2.10</t>
  </si>
  <si>
    <t>4.2.11</t>
  </si>
  <si>
    <t>4.2.12</t>
  </si>
  <si>
    <t>4.2.13</t>
  </si>
  <si>
    <t>4.2.14</t>
  </si>
  <si>
    <t>MANÔMETRO INDUSTRIAL (PARA BOMBAS PRIMÁRIAS) MODELO UN Ø= 86 MM, ROSCA, DIÂMETRO = 1/4", ELEMENTO ELÁSTICO TOMBAK, CAIXA EM AÇO, EXECUÇÃO A1, ESCALA = 0-2,5 KGF/CM2, COM GLICERINA . REF.: NIAGARA OU EQUIVALENTE</t>
  </si>
  <si>
    <t>4.2.15</t>
  </si>
  <si>
    <t>4.2.16</t>
  </si>
  <si>
    <t>4.2.17</t>
  </si>
  <si>
    <t>4.2.18</t>
  </si>
  <si>
    <t>4.2.19</t>
  </si>
  <si>
    <t>4.2.20</t>
  </si>
  <si>
    <t>MANÔMETRO INDUSTRIAL (PARA BOMBAS SECUNDÁRIAS) MODELO UN Ø= 86 MM, ROSCA, DIÂMETRO = 1/4", ELEMENTO ELÁSTICO TOMBAK, CAIXA EM AÇO, EXECUÇÃO A1, ESCALA = 0-6,0 KGF/CM2, COM GLICERINA. REF.: NIAGARA OU EQUIVALENTE</t>
  </si>
  <si>
    <t>4.2.21</t>
  </si>
  <si>
    <t>TE EM FERRO GALVANIZADO, CONFORME NORMA NBR 6590, DIÂMETRO=1/4", REF. TUPY OU EQUIVALENTE</t>
  </si>
  <si>
    <t>4.2.22</t>
  </si>
  <si>
    <t>LUVA EM FERRO GALVANIZADO, CONFORME NORMA NBR 6590, DIÂMETRO=1/4", REF. TUPY OU EQUIVALENTE</t>
  </si>
  <si>
    <t>4.2.23</t>
  </si>
  <si>
    <t>4.2.24</t>
  </si>
  <si>
    <t>VÁLVULA ESFERA SÉRIE MITE, EM LATÃO, ROSCA, NORMA ABNT NBR 6414, DIÂMETRO=1/4",  PRESSÃO = 150 PSI. REF.: NIAGARA OU EQUIVALENTE</t>
  </si>
  <si>
    <t>4.2.25</t>
  </si>
  <si>
    <t>4.2.26</t>
  </si>
  <si>
    <t>MANÔMETRO INDUSTRIAL (PARA FAN-COIL) MODELO UN Ø= 86 MM, ROSCA, DIÂMETRO = 1/4", ELEMENTO ELÁSTICO TOMBAK, CAIXA EM AÇO, EXECUÇÃO A1, ESCALA = 0-4,0 KGF/CM2, COM GLICERINA . REF.: NIAGARA OU EQUIVALENTE</t>
  </si>
  <si>
    <t>4.2.27</t>
  </si>
  <si>
    <t>4.2.28</t>
  </si>
  <si>
    <t>TE EM FERRO GALVANIZADO, CONFORME NORMA NBR 6590, DIÂMETRO=1/4",                                                      REF. TUPY OU EQUIVALENTE</t>
  </si>
  <si>
    <t>4.2.29</t>
  </si>
  <si>
    <t>4.2.30</t>
  </si>
  <si>
    <t>4.3</t>
  </si>
  <si>
    <t>4.3.1</t>
  </si>
  <si>
    <t>4.3.1.1</t>
  </si>
  <si>
    <t>TUBO DE AÇO CARBONO PRETO, SEM COSTURA, ASTM-A53, SCH 40 - DIÂMETRO = 10"</t>
  </si>
  <si>
    <t>4.3.1.2</t>
  </si>
  <si>
    <t>TUBO DE AÇO CARBONO PRETO, SEM COSTURA, ASTM-A53, SCH 40 - DIÂMETRO = 8"</t>
  </si>
  <si>
    <t>4.3.1.3</t>
  </si>
  <si>
    <t>TUBO DE AÇO CARBONO PRETO, SEM COSTURA, ASTM-A53, SCH 40 - DIÂMETRO = 6"</t>
  </si>
  <si>
    <t>4.3.1.4</t>
  </si>
  <si>
    <t>TUBO DE AÇO CARBONO PRETO, SEM COSTURA, ASTM-A53, SCH 40 - DIÂMETRO = 5"</t>
  </si>
  <si>
    <t>4.3.1.5</t>
  </si>
  <si>
    <t>TUBO DE AÇO CARBONO PRETO, SEM COSTURA, ASTM-A53, SCH 40 - DIÂMETRO = 4"</t>
  </si>
  <si>
    <t>4.3.1.6</t>
  </si>
  <si>
    <t>TUBO DE AÇO CARBONO PRETO, SEM COSTURA, ASTM-A53, SCH 40 - DIÂMETRO = 3"</t>
  </si>
  <si>
    <t>4.3.1.7</t>
  </si>
  <si>
    <t>TUBO DE AÇO CARBONO GALVANIZADO, SEM COSTURA, ASTM-A53, SCH 40 - DIÂMETRO = 2"</t>
  </si>
  <si>
    <t>4.3.1.8</t>
  </si>
  <si>
    <t>TUBO DE AÇO CARBONO GALVANIZADO, SEM COSTURA, ASTM-A53, SCH 40 - DIÂMETRO = 11/2"</t>
  </si>
  <si>
    <t>4.3.1.9</t>
  </si>
  <si>
    <t>TUBO DE AÇO CARBONO GALVANIZADO, SEM COSTURA, ASTM-A53, SCH 40  - DIÂMETRO = 11/4"</t>
  </si>
  <si>
    <t>PEN-001</t>
  </si>
  <si>
    <t xml:space="preserve">CALHA EM POLIESTIRENO (ISOPOR) EXPANDIDO, AUTO EXTINGUÍVEL, GRAU F1,COM 2" DE ESPESSURA - DIÂMETRO = 10" </t>
  </si>
  <si>
    <t>4.3.1.10</t>
  </si>
  <si>
    <t>PEN-002</t>
  </si>
  <si>
    <t xml:space="preserve">CALHA EM POLIESTIRENO (ISOPOR) EXPANDIDO, AUTO EXTINGUÍVEL, GRAU F1,COM 2" DE ESPESSURA - DIÂMETRO = 8" </t>
  </si>
  <si>
    <t>4.3.1.11</t>
  </si>
  <si>
    <t>PEN-003</t>
  </si>
  <si>
    <t xml:space="preserve">CALHA EM POLIESTIRENO (ISOPOR) EXPANDIDO, AUTO EXTINGUÍVEL, GRAU F1,COM 2" DE ESPESSURA - DIÂMETRO = 5" </t>
  </si>
  <si>
    <t>4.3.1.12</t>
  </si>
  <si>
    <t>PEN-004</t>
  </si>
  <si>
    <t xml:space="preserve">CALHA EM POLIESTIRENO (ISOPOR) EXPANDIDO, AUTO EXTINGUÍVEL, GRAU F1,COM 2" DE ESPESSURA - DIÂMETRO = 4" </t>
  </si>
  <si>
    <t>4.3.1.13</t>
  </si>
  <si>
    <t>PEN-005</t>
  </si>
  <si>
    <t xml:space="preserve">CALHA EM POLIESTIRENO (ISOPOR) EXPANDIDO, AUTO EXTINGUÍVEL, GRAU F1,COM 2" DE ESPESSURA - DIÂMETRO = 3" </t>
  </si>
  <si>
    <t>4.3.1.14</t>
  </si>
  <si>
    <t>PEN-006</t>
  </si>
  <si>
    <t xml:space="preserve">CALHA EM POLIESTIRENO (ISOPOR) EXPANDIDO, AUTO EXTINGUÍVEL, GRAU F1,COM 11/2" DE ESPESSURA - DIÂMETRO = 2" </t>
  </si>
  <si>
    <t>4.3.1.15</t>
  </si>
  <si>
    <t>PEN-007</t>
  </si>
  <si>
    <t xml:space="preserve">CALHA EM POLIESTIRENO (ISOPOR) EXPANDIDO, AUTO EXTINGUÍVEL, GRAU F1,COM 11/2" DE ESPESSURA - DIÂMETRO = 11/2" </t>
  </si>
  <si>
    <t>4.3.1.16</t>
  </si>
  <si>
    <t>PEN-008</t>
  </si>
  <si>
    <t xml:space="preserve">CALHA EM POLIESTIRENO (ISOPOR) EXPANDIDO, AUTO EXTINGUÍVEL, GRAU F1,COM 11/2" DE ESPESSURA - DIÂMETRO = 11/4" </t>
  </si>
  <si>
    <t>4.3.2</t>
  </si>
  <si>
    <t>4.3.2.1</t>
  </si>
  <si>
    <t>4.3.2.2</t>
  </si>
  <si>
    <t>4.3.2.3</t>
  </si>
  <si>
    <t>4.3.2.4</t>
  </si>
  <si>
    <t>4.3.2.5</t>
  </si>
  <si>
    <t>4.3.2.6</t>
  </si>
  <si>
    <t>4.3.2.7</t>
  </si>
  <si>
    <t>4.3.2.8</t>
  </si>
  <si>
    <t>4.3.2.9</t>
  </si>
  <si>
    <t>4.3.2.10</t>
  </si>
  <si>
    <t>4.3.2.11</t>
  </si>
  <si>
    <t>4.3.2.12</t>
  </si>
  <si>
    <t>4.3.2.13</t>
  </si>
  <si>
    <t>4.3.2.14</t>
  </si>
  <si>
    <t>4.3.2.15</t>
  </si>
  <si>
    <t>4.3.2.16</t>
  </si>
  <si>
    <t>4.3.2.17</t>
  </si>
  <si>
    <t>4.3.2.18</t>
  </si>
  <si>
    <t>4.3.2.19</t>
  </si>
  <si>
    <t>4.3.2.20</t>
  </si>
  <si>
    <t>4.3.2.21</t>
  </si>
  <si>
    <t>4.3.2.22</t>
  </si>
  <si>
    <t>4.3.2.23</t>
  </si>
  <si>
    <t>4.3.2.24</t>
  </si>
  <si>
    <t>4.3.2.25</t>
  </si>
  <si>
    <t>4.3.2.26</t>
  </si>
  <si>
    <t>4.3.2.27</t>
  </si>
  <si>
    <t>4.3.2.28</t>
  </si>
  <si>
    <t>4.3.2.29</t>
  </si>
  <si>
    <t>4.3.2.30</t>
  </si>
  <si>
    <t>4.3.2.31</t>
  </si>
  <si>
    <t>4.3.2.32</t>
  </si>
  <si>
    <t>4.3.2.33</t>
  </si>
  <si>
    <t>4.3.2.34</t>
  </si>
  <si>
    <t>4.3.2.35</t>
  </si>
  <si>
    <t>4.3.2.36</t>
  </si>
  <si>
    <t>4.3.2.37</t>
  </si>
  <si>
    <t>4.3.2.38</t>
  </si>
  <si>
    <t>4.3.2.39</t>
  </si>
  <si>
    <t>4.3.2.40</t>
  </si>
  <si>
    <t>4.3.2.41</t>
  </si>
  <si>
    <t>4.3.2.42</t>
  </si>
  <si>
    <t>4.3.2.43</t>
  </si>
  <si>
    <t>4.3.2.44</t>
  </si>
  <si>
    <t>4.3.3</t>
  </si>
  <si>
    <t>4.3.3.1</t>
  </si>
  <si>
    <t>4.3.3.2</t>
  </si>
  <si>
    <t>4.3.3.3</t>
  </si>
  <si>
    <t>4.3.3.4</t>
  </si>
  <si>
    <t>4.3.3.5</t>
  </si>
  <si>
    <t>4.3.3.6</t>
  </si>
  <si>
    <t>4.3.3.7</t>
  </si>
  <si>
    <t>4.3.3.8</t>
  </si>
  <si>
    <t>4.3.3.9</t>
  </si>
  <si>
    <t>4.3.3.10</t>
  </si>
  <si>
    <t>4.3.3.11</t>
  </si>
  <si>
    <t>4.3.3.12</t>
  </si>
  <si>
    <t>4.3.3.13</t>
  </si>
  <si>
    <t>4.3.3.14</t>
  </si>
  <si>
    <t>4.3.3.15</t>
  </si>
  <si>
    <t>4.3.3.16</t>
  </si>
  <si>
    <t>4.3.3.17</t>
  </si>
  <si>
    <t>4.3.3.18</t>
  </si>
  <si>
    <t>4.3.3.19</t>
  </si>
  <si>
    <t>4.3.3.20</t>
  </si>
  <si>
    <t>4.3.3.21</t>
  </si>
  <si>
    <t>4.3.3.22</t>
  </si>
  <si>
    <t>4.3.3.23</t>
  </si>
  <si>
    <t>4.3.3.24</t>
  </si>
  <si>
    <t>4.3.3.25</t>
  </si>
  <si>
    <t>4.3.3.26</t>
  </si>
  <si>
    <t>4.3.3.27</t>
  </si>
  <si>
    <t>4.3.3.28</t>
  </si>
  <si>
    <t>4.3.3.29</t>
  </si>
  <si>
    <t>4.3.3.30</t>
  </si>
  <si>
    <t>4.3.3.31</t>
  </si>
  <si>
    <t>4.3.3.32</t>
  </si>
  <si>
    <t>4.3.3.33</t>
  </si>
  <si>
    <t>4.3.3.34</t>
  </si>
  <si>
    <t>4.3.3.35</t>
  </si>
  <si>
    <t>4.3.3.36</t>
  </si>
  <si>
    <t>4.3.4</t>
  </si>
  <si>
    <t>4.3.4.1</t>
  </si>
  <si>
    <t>4.3.4.2</t>
  </si>
  <si>
    <t>4.3.4.3</t>
  </si>
  <si>
    <t>4.3.4.4</t>
  </si>
  <si>
    <t>4.3.4.5</t>
  </si>
  <si>
    <t>4.3.4.6</t>
  </si>
  <si>
    <t>4.3.4.7</t>
  </si>
  <si>
    <t>4.3.4.8</t>
  </si>
  <si>
    <t>4.3.5</t>
  </si>
  <si>
    <t>4.3.5.1</t>
  </si>
  <si>
    <t>5.1</t>
  </si>
  <si>
    <t>5.1.1</t>
  </si>
  <si>
    <t>PROJETO "AS BUILT" DE INSTALAÇÕES ELÉTRICAS, LÓGICA E TELEFONIA</t>
  </si>
  <si>
    <t>Ed. Anexo</t>
  </si>
  <si>
    <t>5.1.2</t>
  </si>
  <si>
    <t>PROJETO "AS BUILT" DE CLIMATIZAÇÃO</t>
  </si>
  <si>
    <t>5.2</t>
  </si>
  <si>
    <t>5.2.1</t>
  </si>
  <si>
    <t>LIMPEZA FINAL DA OBRA</t>
  </si>
  <si>
    <t>INSTALAÇÕES PROVISÓRIAS TORRES DE RESFRIAMENTO</t>
  </si>
  <si>
    <r>
      <t xml:space="preserve">MEMÓRIA DE CÁLCULO </t>
    </r>
    <r>
      <rPr>
        <sz val="16"/>
        <rFont val="Calibri"/>
        <family val="2"/>
        <scheme val="minor"/>
      </rPr>
      <t>- 3 PAV-B</t>
    </r>
  </si>
  <si>
    <t>DEM-010</t>
  </si>
  <si>
    <t>3º Pavimento - Ala B</t>
  </si>
  <si>
    <t>Casa de Máquinas 1</t>
  </si>
  <si>
    <t>Casa de Máquinas 2</t>
  </si>
  <si>
    <t>Casa de Máquinas 3</t>
  </si>
  <si>
    <t>2.1.8</t>
  </si>
  <si>
    <t>2.1.9</t>
  </si>
  <si>
    <t>2.1.10</t>
  </si>
  <si>
    <t>2.1.11</t>
  </si>
  <si>
    <t>2.1.12</t>
  </si>
  <si>
    <t>sanitários</t>
  </si>
  <si>
    <t>sancas</t>
  </si>
  <si>
    <t>2.1.13</t>
  </si>
  <si>
    <t>FORRO DE GESSO MODULAR EM PLACAS DE 625X625, COM PLACAS REMOVÍVEIS, EM FIBRA MINERAL, DESEMPENHO DE RESISTENCIA A UMIDADE COM PINTURA NA COR BRANCA. PERFIL DE BORDAS DO TIPO TEGULAR, COR BRANCA FIXADO COM PERFIL METÁLICO T15</t>
  </si>
  <si>
    <t>Iluminação Comum</t>
  </si>
  <si>
    <t>Iluminação de Emergência</t>
  </si>
  <si>
    <t>Tomadas</t>
  </si>
  <si>
    <t>4.1.3</t>
  </si>
  <si>
    <t>4.1.4</t>
  </si>
  <si>
    <t>4.1.5</t>
  </si>
  <si>
    <t>4.1.6</t>
  </si>
  <si>
    <t>4.1.7</t>
  </si>
  <si>
    <t>4.1.8</t>
  </si>
  <si>
    <t>4.1.9</t>
  </si>
  <si>
    <t>4.1.10</t>
  </si>
  <si>
    <t>4.1.11</t>
  </si>
  <si>
    <t>4.1.12</t>
  </si>
  <si>
    <t>4.1.13</t>
  </si>
  <si>
    <t>Iluminação e tomadas</t>
  </si>
  <si>
    <t>4.1.14</t>
  </si>
  <si>
    <t>4.1.15</t>
  </si>
  <si>
    <t>4.1.16</t>
  </si>
  <si>
    <t>4.1.17</t>
  </si>
  <si>
    <t>4.1.18</t>
  </si>
  <si>
    <t>4.1.19</t>
  </si>
  <si>
    <t xml:space="preserve">Iluminação de Emergência </t>
  </si>
  <si>
    <t>4.1.20</t>
  </si>
  <si>
    <t>4.1.21</t>
  </si>
  <si>
    <t>4.1.22</t>
  </si>
  <si>
    <t>4.1.23</t>
  </si>
  <si>
    <t>4.1.24</t>
  </si>
  <si>
    <t>4.1.25</t>
  </si>
  <si>
    <t>4.1.26</t>
  </si>
  <si>
    <t>4.1.27</t>
  </si>
  <si>
    <t>4.1.28</t>
  </si>
  <si>
    <t>4.1.29</t>
  </si>
  <si>
    <t>4.1.30</t>
  </si>
  <si>
    <t>4.1.31</t>
  </si>
  <si>
    <t>Iluminação Emergência</t>
  </si>
  <si>
    <t>4.1.32</t>
  </si>
  <si>
    <t>4.1.33</t>
  </si>
  <si>
    <t>4.1.34</t>
  </si>
  <si>
    <t>4.1.35</t>
  </si>
  <si>
    <t>4.1.36</t>
  </si>
  <si>
    <t>4.1.37</t>
  </si>
  <si>
    <t>4.1.38</t>
  </si>
  <si>
    <t>4.1.39</t>
  </si>
  <si>
    <t>4.1.40</t>
  </si>
  <si>
    <t>4.1.41</t>
  </si>
  <si>
    <t>4.1.42</t>
  </si>
  <si>
    <t>4.1.43</t>
  </si>
  <si>
    <t>4.1.44</t>
  </si>
  <si>
    <t>4.1.45</t>
  </si>
  <si>
    <t>iluminação e tomadas</t>
  </si>
  <si>
    <t>4.1.46</t>
  </si>
  <si>
    <t>4.1.47</t>
  </si>
  <si>
    <t>4.1.48</t>
  </si>
  <si>
    <t>4.1.49</t>
  </si>
  <si>
    <t>74.32.01</t>
  </si>
  <si>
    <t>LUMINÁRIA DE SOBREPOR TIPO ARANDELA, PARA 1 LÂMPADA FLUORESCENTE COMPACTA ELETRÔNICA DE 20W, FLUXO LUMINOSO 691lm, EFICÁCIA LUMINOSA MÍNIMA DE 34,5LM/W, EMISSÃO DE LUX NA COR 3000K, CORPO EM ALUMÍNIO FUNDIDO COM ACABAMENTO EM PINTURA NA COR CINZA MARTELADO, DIFUSOR EM VIDRO TRANSPARENTE FRISADO - REF. ITAIM ILUMINAÇÃO TASSU 1XTC-TSE 20W OU EQUIVALENTE</t>
  </si>
  <si>
    <t>4.1.50</t>
  </si>
  <si>
    <t>4.1.51</t>
  </si>
  <si>
    <t>4.1.52</t>
  </si>
  <si>
    <t>4.1.53</t>
  </si>
  <si>
    <t>4.1.54</t>
  </si>
  <si>
    <t>4.1.55</t>
  </si>
  <si>
    <t>4.1.56</t>
  </si>
  <si>
    <t>4.1.57</t>
  </si>
  <si>
    <t>4.1.58</t>
  </si>
  <si>
    <t>4.1.59</t>
  </si>
  <si>
    <t>4.1.60</t>
  </si>
  <si>
    <t>Cabeamento Estruturado</t>
  </si>
  <si>
    <t>Telefonia</t>
  </si>
  <si>
    <t>4.3.6</t>
  </si>
  <si>
    <t>4.3.7</t>
  </si>
  <si>
    <t>4.3.8</t>
  </si>
  <si>
    <t>5.1.1.1</t>
  </si>
  <si>
    <t>Conforme Lista de Materiais Climatização - 3PAV-B</t>
  </si>
  <si>
    <t>5.1.1.2</t>
  </si>
  <si>
    <t>5.1.1.3</t>
  </si>
  <si>
    <t>5.1.1.4</t>
  </si>
  <si>
    <t>5.1.2.1</t>
  </si>
  <si>
    <t>5.1.2.2</t>
  </si>
  <si>
    <t>5.1.2.3</t>
  </si>
  <si>
    <t>5.1.3</t>
  </si>
  <si>
    <t>5.1.3.1</t>
  </si>
  <si>
    <t>DIFUSOR EM ALUMÍNIO, COM REGISTRO, CAIXA PLENUM, QUATRO VIAS, MODELO VARYSET PARA VAV - TAMANHO 500, COLARINHO Φ = 248 MM (10") . REF.: TROX OU EQUIVALENTE</t>
  </si>
  <si>
    <t>5.1.3.2</t>
  </si>
  <si>
    <t>DIFUSOR EM ALUMÍNIO, COM REGISTRO, CAIXA PLENUM, QUATRO VIAS, MODELO VARYSET PARA VAV - TAMANHO 400, COLARINHO Φ = 198 MM (8") . REF.: TROX OU EQUIVALENTE</t>
  </si>
  <si>
    <t>5.1.3.3</t>
  </si>
  <si>
    <t>DIFUSOR EM ALUMÍNIO, COM REGISTRO, CAIXA PLENUM, QUATRO VIAS, MODELO VARYSET PARA VAV - TAMANHO 300, COLARINHO Φ = 158 MM (6") . REF.: TROX OU EQUIVALENTE</t>
  </si>
  <si>
    <t>5.1.4</t>
  </si>
  <si>
    <t>5.1.4.1</t>
  </si>
  <si>
    <t>5.1.4.2</t>
  </si>
  <si>
    <t>5.1.4.3</t>
  </si>
  <si>
    <t>5.1.4.4</t>
  </si>
  <si>
    <t>5.1.5</t>
  </si>
  <si>
    <t>5.1.5.1</t>
  </si>
  <si>
    <t>5.1.5.2</t>
  </si>
  <si>
    <t>5.1.6</t>
  </si>
  <si>
    <t>5.1.6.1</t>
  </si>
  <si>
    <t>5.1.6.2</t>
  </si>
  <si>
    <t>5.1.6.3</t>
  </si>
  <si>
    <t>5.1.6.4</t>
  </si>
  <si>
    <t>5.1.7</t>
  </si>
  <si>
    <t>5.1.7.1</t>
  </si>
  <si>
    <t>COLARINHO EM CHAPA GALVANIZADA, PARA INTERLIGAR DUTO FLEXÍVEL AO DUTO PRINCIPAL, SEM REGISTRO, Φ = 10", REF.: MULTIVAC OU EQUIVALENTE</t>
  </si>
  <si>
    <t>5.1.7.2</t>
  </si>
  <si>
    <t>COLARINHO EM CHAPA GALVANIZADA, PARA INTERLIGAR DUTO FLEXÍVEL AO DUTO PRINCIPAL, SEM REGISTRO, Φ = 8", REF.: MULITVAC OU EQUIVALENTE</t>
  </si>
  <si>
    <t>5.1.7.3</t>
  </si>
  <si>
    <t>COLARINHO EM CHAPA GALVANIZADA, PARA INTERLIGAR DUTO FLEXÍVEL AO DUTO PRINCIPAL, SEM REGISTRO, Φ = 6", REF.: MULTIVAC OU EQUIVALENTE</t>
  </si>
  <si>
    <t>5.1.7.4</t>
  </si>
  <si>
    <t>COLARINHO EM CHAPA GALVANIZADA, PARA INTERLIGAR DUTO FLEXÍVEL AO DUTO PRINCIPAL, SEM REGISTRO, Φ = 5", REF.: MULTIVAC OU EQUIVALENTE</t>
  </si>
  <si>
    <t>5.1.8</t>
  </si>
  <si>
    <t>5.1.8.1</t>
  </si>
  <si>
    <t>5.1.9</t>
  </si>
  <si>
    <t>5.1.9.1</t>
  </si>
  <si>
    <t>5.1.10</t>
  </si>
  <si>
    <t>5.1.10.1</t>
  </si>
  <si>
    <t>5.1.10.2</t>
  </si>
  <si>
    <t>5.1.10.3</t>
  </si>
  <si>
    <t>5.1.10.4</t>
  </si>
  <si>
    <t>5.1.10.5</t>
  </si>
  <si>
    <t>5.1.10.6</t>
  </si>
  <si>
    <t>5.1.10.7</t>
  </si>
  <si>
    <t>5.1.10.8</t>
  </si>
  <si>
    <t>5.1.10.9</t>
  </si>
  <si>
    <t>5.1.10.10</t>
  </si>
  <si>
    <t>5.1.10.11</t>
  </si>
  <si>
    <t>5.1.10.12</t>
  </si>
  <si>
    <t>5.1.10.13</t>
  </si>
  <si>
    <t>5.1.10.14</t>
  </si>
  <si>
    <t>5.1.10.15</t>
  </si>
  <si>
    <t>5.2.2</t>
  </si>
  <si>
    <t>5.3</t>
  </si>
  <si>
    <t>5.3.1</t>
  </si>
  <si>
    <t>5.3.1.1</t>
  </si>
  <si>
    <t>CHAPA DE AÇO GALVANIZADA #20</t>
  </si>
  <si>
    <t>5.3.1.2</t>
  </si>
  <si>
    <t>CHAPA DE AÇO GALVANIZADA #22</t>
  </si>
  <si>
    <t>5.3.1.3</t>
  </si>
  <si>
    <t>CHAPA DE AÇO GALVANIZADA #24</t>
  </si>
  <si>
    <t>5.3.1.4</t>
  </si>
  <si>
    <t>CHAPA DE AÇO GALVANIZADA #26</t>
  </si>
  <si>
    <t>5.3.1.5</t>
  </si>
  <si>
    <t>5.3.1.6</t>
  </si>
  <si>
    <t>CHP-010</t>
  </si>
  <si>
    <t>MISCELANEAS (CONEXÃO FLEXÍVEL, SUPORTES, COLA, FITAS ADESIVAS, BRAÇADEIRAS ETC)</t>
  </si>
  <si>
    <t>5.3.2</t>
  </si>
  <si>
    <t>5.3.2.1</t>
  </si>
  <si>
    <t>DUTO FLEXÍVEL ISOLADO E ACÚSTICO, FABRICADOS EXTERNAMENTE EM FOLHA DE ALUMÍNIO, ARAME EM AÇO CARBONO, ISOLAMENTO  DE LÂ DE VIDRO 16 KG/M3, DUTO INTERNO EM FOLHA DE ALUMÍNIO COM MICRO FUROS.  MODELO SONODEC RT 1.2 - DIÂMETRO = 10" (263 MM). REF.: MULTIVAC OU EQUIVALENTE</t>
  </si>
  <si>
    <t>5.3.2.2</t>
  </si>
  <si>
    <t>DUTO FLEXÍVEL ISOLADO E ACÚSTICO, FABRICADOS EXTERNAMENTE EM FOLHA DE ALUMÍNIO, ARAME EM AÇO CARBONO, ISOLAMENTO  DE LÂ DE VIDRO 16 KG/M3, DUTO INTERNO EM FOLHA DE ALUMÍNIO COM MICRO FUROS.  MODELO SONODEC RT 1.2 - DIÂMETRO = 8" (209 MM). REF.: MULTIVAC OU EQUIVALENTE</t>
  </si>
  <si>
    <t>5.3.2.3</t>
  </si>
  <si>
    <t>DUTO FLEXÍVEL ISOLADO E ACÚSTICO, FABRICADOS EXTERNAMENTE EM FOLHA DE ALUMÍNIO, ARAME EM AÇO CARBONO, ISOLAMENTO  DE LÂ DE VIDRO 16 KG/M3, DUTO INTERNO EM FOLHA DE ALUMÍNIO COM MICRO FUROS.  MODELO SONODEC RT 1.2 - DIÂMETRO = 6" (161 MM). REF.: MULTIVAC OU EQUIVALENTE</t>
  </si>
  <si>
    <t>5.3.2.4</t>
  </si>
  <si>
    <t>DUT-004</t>
  </si>
  <si>
    <t>MISCELANEAS (FITAS ADESIVAS, BRAÇADEIRAS ETC)</t>
  </si>
  <si>
    <t>5.4</t>
  </si>
  <si>
    <t>5.4.1</t>
  </si>
  <si>
    <t>5.5</t>
  </si>
  <si>
    <t>5.5.1</t>
  </si>
  <si>
    <t>5.6</t>
  </si>
  <si>
    <t>5.6.1</t>
  </si>
  <si>
    <t>Automação</t>
  </si>
  <si>
    <t>5.6.2</t>
  </si>
  <si>
    <t>5.6.3</t>
  </si>
  <si>
    <t>5.6.4</t>
  </si>
  <si>
    <t>VAV'S</t>
  </si>
  <si>
    <t>5.6.5</t>
  </si>
  <si>
    <t>5.6.6</t>
  </si>
  <si>
    <t>5.6.7</t>
  </si>
  <si>
    <t>Alimentação VAV</t>
  </si>
  <si>
    <t>5.6.8</t>
  </si>
  <si>
    <t>5.6.9</t>
  </si>
  <si>
    <t>5.6.10</t>
  </si>
  <si>
    <t>5.6.11</t>
  </si>
  <si>
    <t>5.6.12</t>
  </si>
  <si>
    <t>5.6.13</t>
  </si>
  <si>
    <t>5.6.14</t>
  </si>
  <si>
    <t>5.6.15</t>
  </si>
  <si>
    <t>5.6.16</t>
  </si>
  <si>
    <t>5.6.17</t>
  </si>
  <si>
    <t>5.6.18</t>
  </si>
  <si>
    <t>5.6.19</t>
  </si>
  <si>
    <t>5.6.20</t>
  </si>
  <si>
    <t>5.6.21</t>
  </si>
  <si>
    <t>5.6.22</t>
  </si>
  <si>
    <t>5.6.23</t>
  </si>
  <si>
    <t>6.1</t>
  </si>
  <si>
    <t>6.1.1</t>
  </si>
  <si>
    <t>3º Pavimento ala B</t>
  </si>
  <si>
    <t>6.1.2</t>
  </si>
  <si>
    <t>6.2</t>
  </si>
  <si>
    <t>6.2.1</t>
  </si>
  <si>
    <t>CCU (COMPOSIÇÃO DE CUSTOS UNITÁRIA)</t>
  </si>
  <si>
    <t>X</t>
  </si>
  <si>
    <t>MATERIAIS</t>
  </si>
  <si>
    <t>BASE</t>
  </si>
  <si>
    <t>DISCRIMINAÇÃO</t>
  </si>
  <si>
    <t>QUANT.</t>
  </si>
  <si>
    <t>P. UNITÁRIO</t>
  </si>
  <si>
    <t>P. TOTAL</t>
  </si>
  <si>
    <t>SUBTOTAL</t>
  </si>
  <si>
    <t>MÃO DE OBRA</t>
  </si>
  <si>
    <t>ELETRICISTA COM ENCARGOS COMPLEMENTARES</t>
  </si>
  <si>
    <t>AUXILIAR DE ELETRICISTA COM ENCARGOS COMPLEMENTARES</t>
  </si>
  <si>
    <t>COMPOSIÇÕES AUXILIARES</t>
  </si>
  <si>
    <t>74.51.07</t>
  </si>
  <si>
    <t xml:space="preserve">CONECTOR MINI-GAR PARA CABOS DE 16-50mm² </t>
  </si>
  <si>
    <t>74.51.37</t>
  </si>
  <si>
    <t>TERMINAL A COMPRESSAO EM COBRE ESTANHADO PARA CABO 50 MM2, 1 FURO E 1 COMPRESSAO, PARA PARAFUSO DE FIXACAO M8 REF 1578</t>
  </si>
  <si>
    <t>COTAÇÃO</t>
  </si>
  <si>
    <t>COT-0001</t>
  </si>
  <si>
    <t>11.92.45</t>
  </si>
  <si>
    <t>FORNECIMENTO DE ALICATE PEQUENO Z-200 PARA UTILIZAÇÃO EM MOLDE DE SOLDA EXOTÉRMICA</t>
  </si>
  <si>
    <t>COT-0002</t>
  </si>
  <si>
    <t>SERVENTE COM ENCARGOS COMPLEMENTARES</t>
  </si>
  <si>
    <t>GUINDAUTO HIDRÁULICO, CAPACIDADE MÁXIMA DE CARGA 6200 KG, MOMENTO MÁXIMO DE CARGA 11,7 TM, ALCANCE MÁXIMO HORIZONTAL 9,70 M, INCLUSIVE CAMINHÃO TOCO PBT 16.000 KG, POTÊNCIA DE 189 CV - CHP DIURNO. AF_06/2014</t>
  </si>
  <si>
    <t>CHP</t>
  </si>
  <si>
    <t>GUINDAUTO HIDRÁULICO, CAPACIDADE MÁXIMA DE CARGA 6200 KG, MOMENTO MÁXIMO DE CARGA 11,7 TM, ALCANCE MÁXIMO HORIZONTAL 9,70 M, INCLUSIVE CAMINHÃO TOCO PBT 16.000 KG, POTÊNCIA DE 189 CV - CHI DIURNO. AF_06/2014</t>
  </si>
  <si>
    <t>CHI</t>
  </si>
  <si>
    <t>COT-0005</t>
  </si>
  <si>
    <t>CONDULETE DE ALUMÍNIO, TIPO "LL", DIÂMETRO DE SAÍDA 4"</t>
  </si>
  <si>
    <t xml:space="preserve">CONDULETE DE ALUMINIO TIPO C, PARA ELETRODUTO ROSCAVEL DE 4", COM TAMPA CEGA                                                                                                                                                                                                                                                                                                                                                                                                                              </t>
  </si>
  <si>
    <t xml:space="preserve">UN    </t>
  </si>
  <si>
    <t xml:space="preserve">BUCHA DE NYLON SEM ABA S6, COM PARAFUSO DE 4,20 X 40 MM EM ACO ZINCADO COM ROSCA SOBERBA, CABECA CHATA E FENDA PHILLIPS                                                                                                                                                                                                                                                                                                                                                                                   </t>
  </si>
  <si>
    <t>un</t>
  </si>
  <si>
    <t>COT-0007</t>
  </si>
  <si>
    <t>ARGAMASSA TRAÇO 1:1:6 (EM VOLUME DE CIMENTO, CAL E AREIA MÉDIA ÚMIDA) PARA EMBOÇO/MASSA ÚNICA/ASSENTAMENTO DE ALVENARIA DE VEDAÇÃO, PREPARO MANUAL. AF_08/2019</t>
  </si>
  <si>
    <t>COT-0012</t>
  </si>
  <si>
    <t>MECÂNICO DE REFRIGERAÇÃO COM ENCARGOS COMPLEMENTARES</t>
  </si>
  <si>
    <t>AUXILIAR DE MECÂNICO COM ENCARGOS COMPLEMENTARES</t>
  </si>
  <si>
    <t>COT-0013</t>
  </si>
  <si>
    <t>ENGENHEIRO DE AUTOMAÇÃO</t>
  </si>
  <si>
    <t>SWITCH GERENCIAVEL PARA AUTOMAÇÃO LAYER 2</t>
  </si>
  <si>
    <t>COT-0014</t>
  </si>
  <si>
    <t xml:space="preserve">ARRUELA LISA, REDONDA, DE LATAO POLIDO, DIAMETRO NOMINAL 5/8", DIAMETRO EXTERNO = 34 MM, DIAMETRO DO FURO = 17 MM, ESPESSURA = *2,5* MM                                                                                                                                                                                                                                                                                                                                                                   </t>
  </si>
  <si>
    <t xml:space="preserve">VERGALHAO ZINCADO ROSCA TOTAL, 1/4 " (6,3 MM)                                                                                                                                                                                                                                                                                                                                                                                                                                                             </t>
  </si>
  <si>
    <t xml:space="preserve">M     </t>
  </si>
  <si>
    <t xml:space="preserve">PORCA ZINCADA, SEXTAVADA, DIAMETRO 1/4"                                                                                                                                                                                                                                                                                                                                                                                                                                                                   </t>
  </si>
  <si>
    <t>0,6330000</t>
  </si>
  <si>
    <t>AUXILIAR DE ENCANADOR OU BOMBEIRO HIDRÁULICO COM ENCARGOS COMPLEMENTARES</t>
  </si>
  <si>
    <t>3,2890000</t>
  </si>
  <si>
    <t>ENCANADOR OU BOMBEIRO HIDRÁULICO COM ENCARGOS COMPLEMENTARES</t>
  </si>
  <si>
    <t>COT-0015</t>
  </si>
  <si>
    <t>COT-0016</t>
  </si>
  <si>
    <t>COT-0017</t>
  </si>
  <si>
    <t>COT-0018</t>
  </si>
  <si>
    <t>COT-0019</t>
  </si>
  <si>
    <t>COT-0020</t>
  </si>
  <si>
    <t xml:space="preserve">FITA VEDA ROSCA EM ROLOS DE 18 MM X 50 M (L X C)                                                                                                                                                                                                                                                                                                                                                                                                                                                          </t>
  </si>
  <si>
    <t>COT-0021</t>
  </si>
  <si>
    <t>MANÔMETRO INDUSTRIAL MODELO UN Ø= 86 MM, ROSCA, DIÂMETRO = 1/4", ELEMENTO ELÁSTICO TOMBAK, CAIXA EM AÇO, EXECUÇÃO A1, ESCALA = 0-2,5 KGF/CM2, COM GLICERINA . REF.: NIAGARA OU EQUIVALENTE</t>
  </si>
  <si>
    <t>COT-0022</t>
  </si>
  <si>
    <t xml:space="preserve">FITA VEDA ROSCA EM ROLOS DE 18 MM X 10 M (L X C)                                                                                                                                                                                                                                                                                                                                                                                                                                                          </t>
  </si>
  <si>
    <t xml:space="preserve">FUNDO ANTICORROSIVO PARA METAIS FERROSOS (ZARCAO)                                                                                                                                                                                                                                                                                                                                                                                                                                                         </t>
  </si>
  <si>
    <t xml:space="preserve">L     </t>
  </si>
  <si>
    <t>COT-0026</t>
  </si>
  <si>
    <t>COT-0027</t>
  </si>
  <si>
    <t>ELETRODO REVESTIDO AWS - E7018, DIAMETRO IGUAL A 4,00 MM</t>
  </si>
  <si>
    <t>ED-20309</t>
  </si>
  <si>
    <t>CANTONEIRA COM ABAS IGUAIS (SÉRIE: POLEGADAS|MATERIAL: AÇO|LARGURA: 1.1/2" OU 38,10MM|ESPESSURA: 1/8" OU 3,17MM|MASSA LINEAR: 1,84KG/M) - FORNECIMENTO, EXCLUSIVE SERVIÇO DE MONTAGEM/INSTALAÇÃO</t>
  </si>
  <si>
    <t>COT-0186</t>
  </si>
  <si>
    <t>SILICONE SELANTE ALTA TEMPERATURA VERMELHO 250G</t>
  </si>
  <si>
    <t>SOLDADOR COM ENCARGOS COMPLEMENTARES</t>
  </si>
  <si>
    <t xml:space="preserve">TUBO ACO CARBONO SEM COSTURA 8", E= *8,18 MM, SCHEDULE 40, *42,55 KG/M                                                                                                                                                                                                                                                                                                                                                                                                                                    </t>
  </si>
  <si>
    <t>FRIO ASFALTO 20KG COM RENDIMENTO PARA 10M²</t>
  </si>
  <si>
    <t>COT-0188</t>
  </si>
  <si>
    <t>TECIDO MORIM BRANCO 100 X 80CM</t>
  </si>
  <si>
    <t>COT-0187</t>
  </si>
  <si>
    <t>ALUMINIO CORRUGADO ESPESSURA 0,15, COM BARREIRA (ROLO 50M)</t>
  </si>
  <si>
    <t>COT-0198</t>
  </si>
  <si>
    <t>FITA ADESIVA ALUMINIO MPU 50mmX50M</t>
  </si>
  <si>
    <t>COT-0199</t>
  </si>
  <si>
    <t xml:space="preserve">TUBO ACO CARBONO SEM COSTURA 6", E= 7,11 MM,  SCHEDULE 40, *28,26 KG/M                                                                                                                                                                                                                                                                                                                                                                                                                                                                                                                                                                                                                                                                                                                                                                                                                                                                    </t>
  </si>
  <si>
    <t>RL</t>
  </si>
  <si>
    <t xml:space="preserve">TUBO ACO CARBONO SEM COSTURA 5", E= *6,55 MM, SCHEDULE 40, *21,75* KG/M                                                                                                                                                                                                                                                                                                                                                                                                                                   </t>
  </si>
  <si>
    <t xml:space="preserve">TUBO ACO CARBONO SEM COSTURA 3", E= *5,49 MM, SCHEDULE 40, *11,28* KG/M                                                                                                                                                                                                                                                                                                                                                                                                                                   </t>
  </si>
  <si>
    <t xml:space="preserve">TUBO ACO CARBONO SEM COSTURA 2", E= *3,91* MM, SCHEDULE 40, *5,43* KG/M                                                                                                                                                                                                                                                                                                                                                                                                                                   </t>
  </si>
  <si>
    <t xml:space="preserve">TUBO ACO CARBONO SEM COSTURA 1 1/2", E= *3,68 MM, SCHEDULE 40, 4,05 KG/M                                                                                                                                                                                                                                                                                                                                                                                                                                  </t>
  </si>
  <si>
    <t xml:space="preserve">TUBO ACO CARBONO SEM COSTURA 1 1/4", E= *3,56 MM, SCHEDULE 40, *3,38* KG/M                                                                                                                                                                                                                                                                                                                                                                                                                                </t>
  </si>
  <si>
    <t>TPV-001</t>
  </si>
  <si>
    <t>Tubo em PVC, cor branco para conexões roscáveis, conforme NBR 5648 - diâmetro = 4"</t>
  </si>
  <si>
    <t>TPV-002</t>
  </si>
  <si>
    <t>Tubo em PVC, cor branco para conexões roscáveis, conforme NBR 5648 - diâmetro = 3"</t>
  </si>
  <si>
    <t>TPV-003</t>
  </si>
  <si>
    <t>Tubo em PVC, cor branco para conexões roscáveis, conforme NBR 5648 - diâmetro = 21/2"</t>
  </si>
  <si>
    <t>TPV-004</t>
  </si>
  <si>
    <t>Tubo em PVC, cor branco para conexões roscáveis, conforme NBR 5648 - diâmetro = 2"</t>
  </si>
  <si>
    <t>COT-0036</t>
  </si>
  <si>
    <t>COT-0087</t>
  </si>
  <si>
    <t>PARAFUSO (TIRANTE) ESTOJO E PORCA SEXTAVADO ROSCA UNC, PARA FLANGE PADRÃO ANSI 16.5, Ø = 8". DIÂMETRO = 3/4" X 1m</t>
  </si>
  <si>
    <t>COT-0037</t>
  </si>
  <si>
    <t>COT-0191</t>
  </si>
  <si>
    <t>COT-0038</t>
  </si>
  <si>
    <t>COT-0193</t>
  </si>
  <si>
    <t>COT-0090</t>
  </si>
  <si>
    <t>PARAFUSO (TIRANTE) ESTOJO E PORCA SEXTAVADO ROSCA UNC, PARA FLANGE PADRÃO ANSI 16.5, Ø = 4". DIÂMETRO = 5/8" X 1m</t>
  </si>
  <si>
    <t>COT-0039</t>
  </si>
  <si>
    <t>COT-0189</t>
  </si>
  <si>
    <t>CALHA EM POLIESTIRENO (ISOPOR) EXPANDIDO, AUTO EXTINGUÍVEL, GRAU F1, COM 2" DE ESPESSURA - DIAMETRO = 10"</t>
  </si>
  <si>
    <t>COT-0086</t>
  </si>
  <si>
    <t>PARAFUSO (TIRANTE) ESTOJO E PORCA SEXTAVADO ROSCA UNC, PARA FLANGE PADRÃO ANSI 16.5, Ø = 10". DIÂMETRO = 7/8" X 1m</t>
  </si>
  <si>
    <t>COT-0040</t>
  </si>
  <si>
    <t>COT-0190</t>
  </si>
  <si>
    <t>COT-0041</t>
  </si>
  <si>
    <t>COT-0200</t>
  </si>
  <si>
    <t xml:space="preserve">CALHA EM POLIESTIRENO (ISOPOR) EXPANDIDO, AUTO EXTINGUÍVEL, GRAU F1,COM 2" DE ESPESSURA - DIÂMETRO = 6" </t>
  </si>
  <si>
    <t>COT-0203</t>
  </si>
  <si>
    <t>GUARNIÇÃO DE BORRACHA PARA VEDAÇÃO DE VÁLVULA DE 6"</t>
  </si>
  <si>
    <t>COT-0042</t>
  </si>
  <si>
    <t>COT-0043</t>
  </si>
  <si>
    <t>COT-0192</t>
  </si>
  <si>
    <t>COT-0044</t>
  </si>
  <si>
    <t>COT-0045</t>
  </si>
  <si>
    <t>COT-0046</t>
  </si>
  <si>
    <t>COT-0047</t>
  </si>
  <si>
    <t>COT-0048</t>
  </si>
  <si>
    <t>COT-0063</t>
  </si>
  <si>
    <t>COT-0064</t>
  </si>
  <si>
    <t>COT-0065</t>
  </si>
  <si>
    <t>COT-0066</t>
  </si>
  <si>
    <t>COT-0067</t>
  </si>
  <si>
    <t>COT-0068</t>
  </si>
  <si>
    <t>COT-0069</t>
  </si>
  <si>
    <t>COT-0070</t>
  </si>
  <si>
    <t>COT-0071</t>
  </si>
  <si>
    <t>COT-0072</t>
  </si>
  <si>
    <t>COT-0073</t>
  </si>
  <si>
    <t>COT-0074</t>
  </si>
  <si>
    <t>COT-0075</t>
  </si>
  <si>
    <t>COT-0076</t>
  </si>
  <si>
    <t>COT-0077</t>
  </si>
  <si>
    <t>COT-0078</t>
  </si>
  <si>
    <t>COT-0079</t>
  </si>
  <si>
    <t>COT-0080</t>
  </si>
  <si>
    <t>COT-0081</t>
  </si>
  <si>
    <t>COT-0082</t>
  </si>
  <si>
    <t>COT-0083</t>
  </si>
  <si>
    <t>COT-0084</t>
  </si>
  <si>
    <t>COT-0085</t>
  </si>
  <si>
    <t>COT-0093</t>
  </si>
  <si>
    <t xml:space="preserve">ELETRODO REVESTIDO AWS - E6013, DIAMETRO IGUAL A 2,50 MM                                                                                                                                                                                                                                                                                                                                                                                                                                                  </t>
  </si>
  <si>
    <t xml:space="preserve">KG    </t>
  </si>
  <si>
    <t>COT-0094</t>
  </si>
  <si>
    <t>COT-0095</t>
  </si>
  <si>
    <t>COT-0096</t>
  </si>
  <si>
    <t>COT-0098</t>
  </si>
  <si>
    <t>COT-0099</t>
  </si>
  <si>
    <t>COT-0100</t>
  </si>
  <si>
    <t>COT-0101</t>
  </si>
  <si>
    <t>COT-0102</t>
  </si>
  <si>
    <t>COT-0103</t>
  </si>
  <si>
    <t>COT-0104</t>
  </si>
  <si>
    <t>COT-0105</t>
  </si>
  <si>
    <t>COT-0106</t>
  </si>
  <si>
    <t>COT-0107</t>
  </si>
  <si>
    <t>COT-0108</t>
  </si>
  <si>
    <t>COT-0109</t>
  </si>
  <si>
    <t>COT-0110</t>
  </si>
  <si>
    <t>COT-0111</t>
  </si>
  <si>
    <t>COT-0112</t>
  </si>
  <si>
    <t>COT-0113</t>
  </si>
  <si>
    <t>COT-0114</t>
  </si>
  <si>
    <t>COT-0115</t>
  </si>
  <si>
    <t>COT-0116</t>
  </si>
  <si>
    <t>COT-0117</t>
  </si>
  <si>
    <t xml:space="preserve">TE DE REDUCAO DE FERRO GALVANIZADO, COM ROSCA BSP, DE 2 1/2" X 1 1/4"                                                                                                                                                                                                                                                                                                                                                                                                                                     </t>
  </si>
  <si>
    <t xml:space="preserve">CURVA 90 GRAUS DE FERRO GALVANIZADO, COM ROSCA BSP FEMEA, DE 2 1/2"                                                                                                                                                                                                                                                                                                                                                                                                                                       </t>
  </si>
  <si>
    <t xml:space="preserve">CURVA 90 GRAUS DE FERRO GALVANIZADO, COM ROSCA BSP FEMEA, DE 2"                                                                                                                                                                                                                                                                                                                                                                                                                                           </t>
  </si>
  <si>
    <t xml:space="preserve">CURVA 90 GRAUS DE FERRO GALVANIZADO, COM ROSCA BSP FEMEA, DE 1 1/2"                                                                                                                                                                                                                                                                                                                                                                                                                                       </t>
  </si>
  <si>
    <t xml:space="preserve">CURVA 90 GRAUS DE FERRO GALVANIZADO, COM ROSCA BSP FEMEA, DE 1 1/4"                                                                                                                                                                                                                                                                                                                                                                                                                                       </t>
  </si>
  <si>
    <t xml:space="preserve">CURVA 45 GRAUS DE FERRO GALVANIZADO, COM ROSCA BSP FEMEA, DE 2"                                                                                                                                                                                                                                                                                                                                                                                                                                           </t>
  </si>
  <si>
    <t>COT-0118</t>
  </si>
  <si>
    <t>COT-0119</t>
  </si>
  <si>
    <t>COT-0120</t>
  </si>
  <si>
    <t>COT-0121</t>
  </si>
  <si>
    <t>COT-0122</t>
  </si>
  <si>
    <t>COT-0123</t>
  </si>
  <si>
    <t>COT-0124</t>
  </si>
  <si>
    <t>COT-0125</t>
  </si>
  <si>
    <t>h</t>
  </si>
  <si>
    <t xml:space="preserve">CAIXA D'AGUA / RESERVATORIO EM POLIETILENO, 500 LITROS, COM TAMPA      </t>
  </si>
  <si>
    <t>ADAPTADOR COM FLANGE E ANEL DE VEDAÇÃO, PVC, SOLDÁVEL, DN  25 MM X 3/4", INSTALADO EM RESERVAÇÃO PREDIAL DE ÁGUA - FORNECIMENTO E INSTALAÇÃO. AF_04/2024</t>
  </si>
  <si>
    <t>18,72</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</si>
  <si>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</si>
  <si>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</si>
  <si>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COT-0127</t>
  </si>
  <si>
    <t xml:space="preserve">TERMINAL A COMPRESSAO EM COBRE ESTANHADO PARA CABO 2,5 MM2, 1 FURO E 1 COMPRESSAO, PARA PARAFUSO DE FIXACAO M5                                                                                                                                                                                                                                                                                                                                                                                            </t>
  </si>
  <si>
    <t xml:space="preserve">BUCHA DE NYLON SEM ABA S10                                                                                                                                                                                                                                                                                                                                                                                                                                                                                </t>
  </si>
  <si>
    <t xml:space="preserve">CHUMBADOR DE ACO ZINCADO, DIAMETRO 1/4" COM PARAFUSO 1/4" X 40 MM                                                                                                                                                                                                                                                                                                                                                                                                                                         </t>
  </si>
  <si>
    <t xml:space="preserve">PARAFUSO DE ACO ZINCADO, SEXTAVADO, COM ROSCA INTEIRA, DIAMETRO 5/16", COMPRIMENTO 3/4", COM PORCA E ARRUELA LISA LEVE                                                                                                                                                                                                                                                                                                                                                                                    </t>
  </si>
  <si>
    <t xml:space="preserve">ARRUELA  EM ACO GALVANIZADO, DIAMETRO EXTERNO = 35MM, ESPESSURA = 3MM, DIAMETRO DO FURO= 18MM                                                                                                                                                                                                                                                                                                                                                                                                             </t>
  </si>
  <si>
    <t xml:space="preserve">SUPORTE MAO-FRANCESA EM ACO, ABAS IGUAIS 40 CM, CAPACIDADE MINIMA 70 KG, BRANCO                                                                                                                                                                                                                                                                                                                                                                                                                           </t>
  </si>
  <si>
    <t>AJUDANTE ESPECIALIZADO COM ENCARGOS COMPLEMENTARES</t>
  </si>
  <si>
    <t>COT-0128</t>
  </si>
  <si>
    <t>COT-0129</t>
  </si>
  <si>
    <t>COT-0130</t>
  </si>
  <si>
    <t>COT-0131</t>
  </si>
  <si>
    <t>ELETROTÉCNICO COM ENCARGOS COMPLEMENTARES</t>
  </si>
  <si>
    <t>COT-0132</t>
  </si>
  <si>
    <t>COT-0133</t>
  </si>
  <si>
    <t>COT-0134</t>
  </si>
  <si>
    <t>COT-0135</t>
  </si>
  <si>
    <t>COT-0136</t>
  </si>
  <si>
    <t>COT-0137</t>
  </si>
  <si>
    <t>COT-0138</t>
  </si>
  <si>
    <t>COT-0139</t>
  </si>
  <si>
    <t>COT-0140</t>
  </si>
  <si>
    <t>COT-0141</t>
  </si>
  <si>
    <t>CARPINTEIRO DE ESQUADRIA COM ENCARGOS COMPLEMENTARES</t>
  </si>
  <si>
    <t>COT-0142</t>
  </si>
  <si>
    <t>COT-0143</t>
  </si>
  <si>
    <t>COT-0144</t>
  </si>
  <si>
    <t>COT-0145</t>
  </si>
  <si>
    <t>COT-0146</t>
  </si>
  <si>
    <t>COT-0147</t>
  </si>
  <si>
    <t>COT-0148</t>
  </si>
  <si>
    <t>COT-0149</t>
  </si>
  <si>
    <t>COT-0150</t>
  </si>
  <si>
    <t>COT-0151</t>
  </si>
  <si>
    <t>COT-0152</t>
  </si>
  <si>
    <t>COT-0153</t>
  </si>
  <si>
    <t xml:space="preserve">ATENUADOR DE RUÍDO COM CARCAÇA E CÉLULAS DE CHAPA GALVANIZADA, COM MATERIAL DE ABSORÇÃO EM LÂ MINERAL REVESTIDO COM TELA DE VIDRO. MODELO KS-200 - ATR-01 
VAZÃO DE AR  = 12985 M3/H
PERDA DE CARGA =74 PA
VELOCIDADE NA CÉLULA  = 12,0 M3/H /LW (DB(A)=49 /  NÚMERO DE CÉLULAS = 5
LARGURA/ALTURA/COMPRIMENTO = 1500/700/1000 MM / PESO = 103 KG
FREQUENCIA/ATENUAÇÃO  -    63HZ/3   125/10   250/19  500/19  1000/25  2000/18  4000/13  8000/12   
REF.:BERLINER LUFT OU EQUIVALENTE                   </t>
  </si>
  <si>
    <t>COT-0154</t>
  </si>
  <si>
    <t>COT-0155</t>
  </si>
  <si>
    <t xml:space="preserve">ATENUADOR DE RUÍDO COM CARCAÇA E CÉLULAS DE CHAPA GALVANIZADA, COM MATERIAL DE ABSORÇÃO EM LÂ MINERAL REVESTIDO COM TELA DE VIDRO. MODELO KS-200 - ATR-03
VAZÃO DE AR  = 8130 M3/H
PERDA DE CARGA =45 PA
VELOCIDADE NA CÉLULA  = 9,4 M3/H  / LW (DB(A)=41 / NÚMERO DE CÉLULAS = 3
LARGURA/ALTURA/COMPRIMENTO = 1000/600/1800 MM / PESO = 111 KG
FREQUENCIA/ATENUAÇÃO  -    63HZ/5   125/14   250/28  500/27  1000/33  2000/23  4000/15  8000/14   
REF.:BERLINER LUFT OU EQUIVALENTE     </t>
  </si>
  <si>
    <t>COT-0156</t>
  </si>
  <si>
    <t xml:space="preserve">ATENUADOR DE RUÍDO COM CARCAÇA E CÉLULAS DE CHAPA GALVANIZADA, COM MATERIAL DE ABSORÇÃO EM LÂ MINERAL REVESTIDO COM TELA DE VIDRO. MODELO KS-200 - ATR-04 
VAZÃO DE AR  = 10560 M3/H
PERDA DE CARGA =43 PA
VELOCIDADE NA CÉLULA  = 9,8 M3/H / LW (DB(A)=43 /NÚMERO DE CÉLULAS = 3 
LARGURA/ALTURA/COMPRIMENTO = 1100/600/1000 MM /PESO = 65 KG  
FREQUENCIA/ATENUAÇÃO  -    63HZ/2   125/7   250/13  500/13  1000/16  2000/12  4000/10  8000/9   
REF.:BERLINER LUFT OU EQUIVALENTE      </t>
  </si>
  <si>
    <t>COT-0157</t>
  </si>
  <si>
    <t xml:space="preserve">ATENUADOR DE RUÍDO COM CARCAÇA E CÉLULAS DE CHAPA GALVANIZADA, COM MATERIAL DE ABSORÇÃO EM LÂ MINERAL REVESTIDO COM TELA DE VIDRO. MODELO KS-200 - ATR-05 
VAZÃO DE AR  = 9470 M3/H
PERDA DE CARGA =50 PA 
VELOCIDADE NA CÉLULA  = 10,5 M3/H / LW (DB(A)=44  / NÚMERO DE CÉLULAS = 5
LARGURA/ALTURA/COMPRIMENTO = 1300/500/1000 MM / PESO = 72 KG  
FREQUENCIA/ATENUAÇÃO  -    63HZ/9   125/9   250/17  500/17  1000/21  2000/16  4000/12  8000/11   
REF.:BERLINER LUFT OU EQUIVALENTE      </t>
  </si>
  <si>
    <t>COT-0158</t>
  </si>
  <si>
    <t xml:space="preserve">ATENUADOR DE RUÍDO COM CARCAÇA E CÉLULAS DE CHAPA GALVANIZADA, COM MATERIAL DE ABSORÇÃO EM LÂ MINERAL REVESTIDO COM TELA DE VIDRO. MODELO KS-200 - ATR-06
VAZÃO DE AR  = 8305 M3/H
PERDA DE CARGA =40 PA
VELOCIDADE NA CÉLULA  = 9,2 M3/H / LW (DB(A)=41 / NÚMERO DE CÉLULAS =4                                                                                                                                                                                                                                                                           LARGURA/ALTURA/COMPRIMENTO = 1300/500/1200 MM / PESO = 84 KG 
FREQUENCIA/ATENUAÇÃO  -    63HZ/3   125/10   250/20  500/20  1000/25  2000/18  4000/13  8000/12   
REF.:BERLINER LUFT OU EQUIVALENTE   </t>
  </si>
  <si>
    <t>COT-0159</t>
  </si>
  <si>
    <t xml:space="preserve">ATENUADOR DE RUÍDO COM CARCAÇA E CÉLULAS DE CHAPA GALVANIZADA, COM MATERIAL DE ABSORÇÃO EM LÂ MINERAL REVESTIDO COM TELA DE VIDRO. MODELO KS-200 - ATR-07
VAZÃO DE AR  = 6200 M3/H
PERDA DE CARGA =34 PA
VELOCIDADE NA CÉLULA  = 8,6 M3/H  / LW (DB(A)=38 / NÚMERO DE CÉLULAS =3                                                                                                                                                                                                                                                                           LARGURA/ALTURA/COMPRIMENTO = 1000/500/1200 MM / PESO = 66 KG
FREQUENCIA/ATENUAÇÃO  -    63HZ/3   125/10   250/19  500/19  1000/23  2000/17  4000/12  8000/11   
REF.:BERLINER LUFT OU EQUIVALENTE      </t>
  </si>
  <si>
    <t>COT-0160</t>
  </si>
  <si>
    <t xml:space="preserve">ATENUADOR DE RUÍDO COM CARCAÇA E CÉLULAS DE CHAPA GALVANIZADA, COM MATERIAL DE ABSORÇÃO EM LÂ MINERAL REVESTIDO COM TELA DE VIDRO. MODELO KS-200 - ATR-08
VAZÃO DE AR  = 6766 M3/H
PERDA DE CARGA =39 PA
VELOCIDADE NA CÉLULA  = 9,4 M3/H /  LW (DB(A)=40 / NÚMERO DE CÉLULAS =3 
LARGURA/ALTURA/COMPRIMENTO = 1000/500/1000 MM / PESO = 57 KG
FREQUENCIA/ATENUAÇÃO  -    63HZ/3   125/8   250/16  500/16  1000/20  2000/15  4000/11  8000/10  
REF.:BERLINER LUFT OU EQUIVALENTE           </t>
  </si>
  <si>
    <t>COT-0161</t>
  </si>
  <si>
    <t xml:space="preserve">ATENUADOR DE RUÍDO COM CARCAÇA E CÉLULAS DE CHAPA GALVANIZADA, COM MATERIAL DE ABSORÇÃO EM LÂ MINERAL REVESTIDO COM TELA DE VIDRO. MODELO KS-200 - ATR-09
VAZÃO DE AR  =1245 M3/H
PERDA DE CARGA =33 PA
VELOCIDADE NA CÉLULA  = 6,9 M3/H / LW (DB(A)=30 / NÚMERO DE CÉLULAS =2
LARGURA/ALTURA/COMPRIMENTO = 500/500/1000 MM / PESO = 33 KG
FREQUENCIA/ATENUAÇÃO  -    63HZ/6   125/14   250/32  500/33  1000/40  2000/39  4000/26  8000/19   
REF.:BERLINER LUFT OU EQUIVALENTE    </t>
  </si>
  <si>
    <t>COT-0162</t>
  </si>
  <si>
    <t xml:space="preserve">ATENUADOR DE RUÍDO COM CARCAÇA E CÉLULAS DE CHAPA GALVANIZADA, COM MATERIAL DE ABSORÇÃO EM LÂ MINERAL REVESTIDO COM TELA DE VIDRO. MODELO KS-200 - ATR-10
VAZÃO DE AR  =9570 M3/H
PERDA DE CARGA =51 PA
VELOCIDADE NA CÉLULA  = 10,6 M3/H / LW (DB(A)=45 / NÚMERO DE CÉLULAS =4
LARGURA/ALTURA/COMPRIMENTO = 1300/500/1000 MM / PESO = 72 KG
FREQUENCIA/ATENUAÇÃO  -    63HZ/3   125/9   250/17  500/17  1000/21  2000/16  4000/12  8000/11   
REF.:BERLINER LUFT OU EQUIVALENTE    </t>
  </si>
  <si>
    <t>COT-0163</t>
  </si>
  <si>
    <t xml:space="preserve">ATENUADOR DE RUÍDO COM CARCAÇA E CÉLULAS DE CHAPA GALVANIZADA, COM MATERIAL DE ABSORÇÃO EM LÂ MINERAL REVESTIDO COM TELA DE VIDRO. MODELO KS-200 - ATR-11
VAZÃO DE AR  =12700 M3/H
PERDA DE CARGA =40 PA
VELOCIDADE NA CÉLULA  = 9,2 M3/H  / LW (DB(A)=41 / NÚMERO DE CÉLULAS =4                                                                                                                                                                                                                                                                           LARGURA/ALTURA/COMPRIMENTO = 1300/500/1200 MM / PESO = 84 KG 
FREQUENCIA/ATENUAÇÃO  -    63HZ/3   125/10   250/20  500/20  1000/25  2000/18  4000/13  8000/12   
REF.:BERLINER LUFT OU EQUIVALENTE                   </t>
  </si>
  <si>
    <t>COT-0164</t>
  </si>
  <si>
    <t xml:space="preserve">ATENUADOR DE RUÍDO COM CARCAÇA E CÉLULAS DE CHAPA GALVANIZADA, COM MATERIAL DE ABSORÇÃO EM LÂ MINERAL REVESTIDO COM TELA DE VIDRO. MODELO KS-200 - ATR-12
VAZÃO DE AR  =4690 M3/H
PERDA DE CARGA =73 PA
VELOCIDADE NA CÉLULA  = 10,9 M3/H   / LW (DB(A)=44  / NÚMERO DE CÉLULAS =3
LARGURA/ALTURA/COMPRIMENTO = 800/600/1000 MM  /  PESO = 59 KG
FREQUENCIA/ATENUAÇÃO  -    63HZ/5   125/13   250/27  500/28  1000/35  2000/32  4000/21  8000/17   
REF.:BERLINER LUFT OU EQUIVALENTE           </t>
  </si>
  <si>
    <t>COT-0165</t>
  </si>
  <si>
    <t xml:space="preserve">ATENUADOR DE RUÍDO COM CARCAÇA E CÉLULAS DE CHAPA GALVANIZADA, COM MATERIAL DE ABSORÇÃO EM LÂ MINERAL REVESTIDO COM TELA DE VIDRO. MODELO KS-200 - ATR-13
VAZÃO DE AR  =5660 M3/H
PERDA DE CARGA =27 PA
VELOCIDADE NA CÉLULA  = 9,4 M3/H /  LW (DB(A)=38 / NÚMERO DE CÉLULAS =3
LARGURA/ALTURA/COMPRIMENTO = 1000/500/1000 MM / PESO = 57 KG
FREQUENCIA/ATENUAÇÃO  -    63HZ/3   125/8   250/16  500/16  1000/20  2000/15  4000/11  8000/10    REF.:BERLINER LUFT OU EQUIVALENTE           </t>
  </si>
  <si>
    <t>COT-0166</t>
  </si>
  <si>
    <t xml:space="preserve">ATENUADOR DE RUÍDO COM CARCAÇA E CÉLULAS DE CHAPA GALVANIZADA, COM MATERIAL DE ABSORÇÃO EM LÂ MINERAL REVESTIDO COM TELA DE VIDRO. MODELO KS-200 - ATR-14
VAZÃO DE AR  =7275 M3/H
PERDA DE CARGA =45 PA
VELOCIDADE NA CÉLULA  = 10,1 M3/H  / LW (DB(A)=72 / NÚMERO DE CÉLULAS =3
LARGURA/ALTURA/COMPRIMENTO = 1000/500/1000 MM / PESO = 57 KG
FREQUENCIA/ATENUAÇÃO  -    63HZ/3   125/8   250/16  500/16  1000/20  2000/15  4000/11  8000/10   
REF.:BERLINER LUFT OU EQUIVALENTE        </t>
  </si>
  <si>
    <t>COT-0167</t>
  </si>
  <si>
    <t>COT-0168</t>
  </si>
  <si>
    <t>ATUADOR PROPORCIONAL ACOPLAMENTO DIRETO TORQUE 180 IN.LB(20NM). MODELO AMB24-SR.  SINAL DE  CONTROLE  = 0-10 V (4-20MA). ALIMENTAÇÃO ELÉTRICA (AC/DC) = 24V                                                                                                                          OBS.: O ATUADOR DEVERÁ PARAR NO FINAL DO CURSO. REF.: BELIMO OU EQUIVALENTE</t>
  </si>
  <si>
    <t>COT-0169</t>
  </si>
  <si>
    <t>CHAPA DE ACO GALVANIZADA BITOLA GSG 20, E = 0,95 MM (7,60 KG/M2) (PERDAS CONSIDERADAS: CORTES 15%, DOBRAS 5%, AJUSTES DE ACABAMENTO (5%), AMPARAGEM E REBARBAÇÃO (2%), FLANGEAMENTO 3%)</t>
  </si>
  <si>
    <t>ED-49461</t>
  </si>
  <si>
    <t>VERGALHÃO DE AÇO COM ROSCA TOTAL PARA PERFILADO, DIÂMETRO 1/4", INCLUSIVE FORNECIMENTO, FIXAÇÃO E INSTALAÇÃO</t>
  </si>
  <si>
    <t>ED-49655</t>
  </si>
  <si>
    <t>ANCORAGEM DE BARRAS DE AÇO COM CHUMBADOR QUÍMICO À BASE DE RESINA POLIÉSTER, EXCLUSIVE FORNECIMENTO DE BARRA</t>
  </si>
  <si>
    <t>DM3</t>
  </si>
  <si>
    <t>MATED-18324</t>
  </si>
  <si>
    <t>PORCA SEXTAVADA (MATERIAL: AÇO|DIÂMETRO: 6,35MM [1/4"]|PESO/100PÇ: 0,320 KG)</t>
  </si>
  <si>
    <t>MATED-18325</t>
  </si>
  <si>
    <t>ARRUELA LISA REDONDA (DIÂMETRO 6,8MM [1/4"]|ACABAMENTO: ZINCADO|PESO: 560UN/KG)*VALORES REFERENCIAIS APROXIMADOS</t>
  </si>
  <si>
    <t xml:space="preserve">CHAPA DE ACO GALVANIZADA BITOLA GSG 22, E = 0,80 MM (6,40 KG/M2)  (PERDAS CONSIDERADAS: CORTES 15%, DOBRAS 5%, AJUSTES DE ACABAMENTO (5%), AMPARAGEM E REBARBAÇÃO (2%), FLANGEAMENTO 3%)       </t>
  </si>
  <si>
    <t xml:space="preserve">CHAPA DE ACO GALVANIZADA BITOLA GSG 24, E = 0,64 (5,12 KG/M2)  (PERDAS CONSIDERADAS: CORTES 15%, DOBRAS 5%, AJUSTES DE ACABAMENTO (5%), AMPARAGEM E REBARBAÇÃO (2%), FLANGEAMENTO 3%)     </t>
  </si>
  <si>
    <t xml:space="preserve">CHAPA DE ACO GALVANIZADA BITOLA GSG 26, E = 0,50 MM (4,00 KG/M2) (PERDAS CONSIDERADAS: CORTES 15%, DOBRAS 5%, AJUSTES DE ACABAMENTO (5%), AMPARAGEM E REBARBAÇÃO (2%), FLANGEAMENTO 3%)            </t>
  </si>
  <si>
    <t>COT-0170</t>
  </si>
  <si>
    <t>COT-0185</t>
  </si>
  <si>
    <t>ABRACADEIRA DE NYLON PARA AMARRACAO DE CABOS, COMPRIMENTO DE 390 X *4,6* MM</t>
  </si>
  <si>
    <t>COT-0171</t>
  </si>
  <si>
    <t>ABRACADEIRA, GALVANIZADA/ZINCADA, ROSCA SEM FIM, PARAFUSO INOX, LARGURA  FITA *12,6 A *14 MM, D = 4" A 4 3/4"</t>
  </si>
  <si>
    <t>COT-0172</t>
  </si>
  <si>
    <t>COT-0173</t>
  </si>
  <si>
    <t xml:space="preserve">GABINETE DE VENTILAÇÃO DOTADO DE MICRO VENTILADOR CENTRÍFUGO TIPO "SIROCCO", MODELO MGD 160; GAB-01, GAB-2 E GAB-03; VAZÃO DE AR INSUFLADO = 325 M3/H. PRESSÃO ESTÁTICA EXTERNA DISPONÍVEL = 12 MMCA. POTÊNCIA MOTOR DO VENTILADOR = 0,05 KW (220V/2Ø/60HZ). DIMENSÕES DA UNIDADE (C/L/H) = 420/420/385 MM. PESO DA UNIDADE = 9 KG. REF.: BERLINER-LUFT  OU EQUIVALENTE        </t>
  </si>
  <si>
    <t>COT-0174</t>
  </si>
  <si>
    <t>COT-0175</t>
  </si>
  <si>
    <t>ED-48204</t>
  </si>
  <si>
    <t>ALVENARIA DE VEDAÇÃO COM BLOCOS DE CONCRETO CELULAR AUTOCLAVADO (CCA), ESP. 15CM, INCLUSIVE ARGAMASSA INDUSTRIALIZADA PARA ASSENTAMENTO</t>
  </si>
  <si>
    <t>m²</t>
  </si>
  <si>
    <t>MASSA ÚNICA, EM ARGAMASSA TRAÇO 1:2:8 PREPARO MECÂNICO, APLICADA MANUALMENTE EM PAREDES INTERNAS DE AMBIENTES COM ÁREA MAIOR QUE 10M², E = 10MM, COM TALISCAS. AF_03/2024</t>
  </si>
  <si>
    <t>88261</t>
  </si>
  <si>
    <t>0,3270000</t>
  </si>
  <si>
    <t>31,35</t>
  </si>
  <si>
    <t>88309</t>
  </si>
  <si>
    <t>PEDREIRO COM ENCARGOS COMPLEMENTARES</t>
  </si>
  <si>
    <t>2,0240000</t>
  </si>
  <si>
    <t>28,15</t>
  </si>
  <si>
    <t>88316</t>
  </si>
  <si>
    <t>1,1760000</t>
  </si>
  <si>
    <t>20,41</t>
  </si>
  <si>
    <t>88629</t>
  </si>
  <si>
    <t>ARGAMASSA TRAÇO 1:3 (EM VOLUME DE CIMENTO E AREIA MÉDIA ÚMIDA), PREPARO MANUAL. AF_08/2019</t>
  </si>
  <si>
    <t>M³</t>
  </si>
  <si>
    <t>0,0229000</t>
  </si>
  <si>
    <t>665,74</t>
  </si>
  <si>
    <t>ED-48479</t>
  </si>
  <si>
    <t>DEMOLIÇÃO MANUAL DE PISO CIMENTADO OU CONTRAPISO DE ARGAMASSA, COM ESPESSURA MÁXIMA DE 10CM, INCLUSIVE AFASTAMENTO E EMPILHAMENTO, EXCLUSIVE TRANSPORTE E RETIRADA DO MATERIAL DEMOLIDO</t>
  </si>
  <si>
    <t>IMPERMEABILIZAÇÃO DE SUPERFÍCIE COM MANTA ASFÁLTICA, DUAS CAMADAS, INCLUSIVE APLICAÇÃO DE PRIMER ASFÁLTICO, E=3MM E E=4MM. AF_09/2023</t>
  </si>
  <si>
    <t>ED-50170</t>
  </si>
  <si>
    <t>CAMADA DE REGULARIZAÇÃO COM ARGAMASSA, TRAÇO 1:3 (CIMENTO E AREIA), ESP. 30MM, APLICAÇÃO MANUAL, INCLUSIVE ARGAMASSA COM PREPARO MECANIZADO</t>
  </si>
  <si>
    <t>REVESTIMENTO CERÂMICO PARA PISO COM PLACAS TIPO PORCELANATO DE DIMENSÕES 60X60 CM APLICADA EM AMBIENTES DE ÁREA MAIOR QUE 10 M². AF_02/2023_PE</t>
  </si>
  <si>
    <t>FORRO EM PLACAS DE GESSO, PARA AMBIENTES COMERCIAIS. AF_08/2023_PS</t>
  </si>
  <si>
    <t>PINTURA LÁTEX ACRÍLICA PREMIUM, APLICAÇÃO MANUAL EM TETO, DUAS DEMÃOS. AF_04/2023</t>
  </si>
  <si>
    <t xml:space="preserve">FORRO DE FIBRA MINERAL EM PLACAS DE 625 X 625 MM, E = 15 MM, BORDA RETA, COM PINTURA ANTIMOFO, APOIADO EM PERFIL DE ACO GALVANIZADO COM 24 MM DE BASE - INSTALADO                                                                                                                                                                                                                                                                                                                                         </t>
  </si>
  <si>
    <t>INSUMO</t>
  </si>
  <si>
    <t>39427</t>
  </si>
  <si>
    <t>PERFIL CANALETA, FORMATO C, EM ACO ZINCADO, PARA ESTRUTURA FORRO DRYWALL, E = 0,5 MM, *46 X 18* (L X H), COMPRIMENTO 3 M</t>
  </si>
  <si>
    <t>3,5470000</t>
  </si>
  <si>
    <t>5,02</t>
  </si>
  <si>
    <t>39430</t>
  </si>
  <si>
    <t>PENDURAL OU PRESILHA REGULADORA, EM ACO GALVANIZADO, COM CORPO, MOLA E REBITE, PARA PERFIL TIPO CANALETA DE ESTRUTURA EM FORROS DRYWALL</t>
  </si>
  <si>
    <t>1,2267000</t>
  </si>
  <si>
    <t>1,89</t>
  </si>
  <si>
    <t>39432</t>
  </si>
  <si>
    <t>FITA DE PAPEL REFORCADA COM LAMINA DE METAL PARA REFORCO DE CANTOS DE CHAPA DE GESSO PARA DRYWALL</t>
  </si>
  <si>
    <t>1,4276000</t>
  </si>
  <si>
    <t>2,91</t>
  </si>
  <si>
    <t>39435</t>
  </si>
  <si>
    <t>PARAFUSO DRY WALL, EM ACO FOSFATIZADO, CABECA TROMBETA E PONTA AGULHA (TA), COMPRIMENTO 25 MM</t>
  </si>
  <si>
    <t>9,6469000</t>
  </si>
  <si>
    <t>0,14</t>
  </si>
  <si>
    <t>39443</t>
  </si>
  <si>
    <t>PARAFUSO DRY WALL, EM ACO ZINCADO, CABECA LENTILHA E PONTA BROCA (LB), LARGURA 4,2 MM, COMPRIMENTO 13 MM</t>
  </si>
  <si>
    <t>0,33</t>
  </si>
  <si>
    <t>40547</t>
  </si>
  <si>
    <t>PARAFUSO ZINCADO, AUTOBROCANTE, FLANGEADO, 4,2 MM X 19 MM</t>
  </si>
  <si>
    <t>CENTO</t>
  </si>
  <si>
    <t>0,0123000</t>
  </si>
  <si>
    <t>37,24</t>
  </si>
  <si>
    <t>43131</t>
  </si>
  <si>
    <t>ARAME GALVANIZADO 6 BWG, D = 5,16 MM (0,157 KG/M), OU 8 BWG, D = 4,19 MM (0,101 KG/M), OU 10 BWG, D = 3,40 MM (0,0713 KG/M)</t>
  </si>
  <si>
    <t>0,0370000</t>
  </si>
  <si>
    <t>29,04</t>
  </si>
  <si>
    <t>COMPOSICAO</t>
  </si>
  <si>
    <t>88278</t>
  </si>
  <si>
    <t>MONTADOR DE ESTRUTURA METÁLICA COM ENCARGOS COMPLEMENTARES</t>
  </si>
  <si>
    <t>0,4786000</t>
  </si>
  <si>
    <t>24,45</t>
  </si>
  <si>
    <t xml:space="preserve">JOELHO PVC, COM BOLSA E ANEL, 90 GRAUS, DN 40 X *38* MM, SERIE NORMAL, PARA ESGOTO PREDIAL                                                                                                                                                                                                                                                                                                                                                                                                                </t>
  </si>
  <si>
    <t xml:space="preserve">ADESIVO PLASTICO PARA PVC, FRASCO COM *850* GR                                                                                                                                                                                                                                                                                                                                                                                                                                                            </t>
  </si>
  <si>
    <t xml:space="preserve">SOLUCAO PREPARADORA / LIMPADORA PARA PVC, FRASCO COM 1000 CM3                                                                                                                                                                                                                                                                                                                                                                                                                                             </t>
  </si>
  <si>
    <t xml:space="preserve">LIXA D'AGUA EM FOLHA, GRAO 100                                                                                                                                                                                                                                                                                                                                                                                                                                                                            </t>
  </si>
  <si>
    <t>COT-0049</t>
  </si>
  <si>
    <t>m³</t>
  </si>
  <si>
    <t>COT-0050</t>
  </si>
  <si>
    <t>COT-0051</t>
  </si>
  <si>
    <t>COT-0052</t>
  </si>
  <si>
    <t>COT-0053</t>
  </si>
  <si>
    <t>COT-0054</t>
  </si>
  <si>
    <t>COT-0055</t>
  </si>
  <si>
    <t>COT-0056</t>
  </si>
  <si>
    <t>COT-0057</t>
  </si>
  <si>
    <t>COT-0058</t>
  </si>
  <si>
    <t>COT-0059</t>
  </si>
  <si>
    <t>COT-0060</t>
  </si>
  <si>
    <t>COT-0061</t>
  </si>
  <si>
    <t>COT-0062</t>
  </si>
  <si>
    <t xml:space="preserve">CABO FLEXIVEL PVC 750 V, 2 CONDUTORES DE 1,5 MM2                                                                                                                                                                                                                                                                                                                                                                                                                                                          </t>
  </si>
  <si>
    <t xml:space="preserve">FITA ISOLANTE ADESIVA ANTICHAMA, USO ATE 750 V, EM ROLO DE 19 MM X 5 M                                                                                                                                                                                                                                                                                                                                                                                                                                    </t>
  </si>
  <si>
    <t xml:space="preserve">CABO FLEXIVEL PVC 750 V, 3 CONDUTORES DE 1,5 MM2                                                                                                                                                                                                                                                                                                                                                                                                                                                          </t>
  </si>
  <si>
    <t xml:space="preserve">CONECTOR DE ALUMINIO TIPO PRENSA CABO, BITOLA 3/4", PARA CABOS DE DIAMETRO DE 17,5 A 20 MM                                                                                                                                                                                                                                                                                                                                                                                                                </t>
  </si>
  <si>
    <t>DESENHISTA PROJETISTA COM ENCARGOS COMPLEMENTARES</t>
  </si>
  <si>
    <t>ENGENHEIRO CIVIL DE OBRA SENIOR COM ENCARGOS COMPLEMENTARES</t>
  </si>
  <si>
    <t>ENGENHEIRO ELETRICISTA/MECÂNICO COM ENCARGOS COMPLEMENTARES</t>
  </si>
  <si>
    <t>mês</t>
  </si>
  <si>
    <t>MAPA DE COTAÇÕES</t>
  </si>
  <si>
    <t>FORNECEDOR 1</t>
  </si>
  <si>
    <t>FORNECEDOR 2</t>
  </si>
  <si>
    <t>FORNECEDOR 3</t>
  </si>
  <si>
    <t>MEDIANA (R$)</t>
  </si>
  <si>
    <t>OBSERVAÇÕES</t>
  </si>
  <si>
    <t>DADOS</t>
  </si>
  <si>
    <t>CUSTO UNIT. 
+ FRETE (R$)</t>
  </si>
  <si>
    <t>Termotécnica Industria e Comércio LTDA
Leticia Cardoso
(31) 5197-4000</t>
  </si>
  <si>
    <t>MULTISEG</t>
  </si>
  <si>
    <t>LOJA ELETRICA</t>
  </si>
  <si>
    <t>BH Comercio</t>
  </si>
  <si>
    <t>loja Eletrica</t>
  </si>
  <si>
    <t>CASA DO ELETRICISTA</t>
  </si>
  <si>
    <t>ALUMBRA</t>
  </si>
  <si>
    <t>RST Quadros Elétricos
Fernando Ferreira
(31) 3333-2503</t>
  </si>
  <si>
    <t>VIERCON PAINEIS</t>
  </si>
  <si>
    <t>MPA Paineis</t>
  </si>
  <si>
    <t>Tech Frio Representações e Serviços Ltda
Springer Carrier Ltda
10.948.651/0001-61
Eng. Marcus Vinícius de Meira
(31) 9 9993-1600</t>
  </si>
  <si>
    <t>ARCOL SISTEMAS
GERALDO MARTINS</t>
  </si>
  <si>
    <t xml:space="preserve">ELLO COMERCIO E SERVIÇOS
</t>
  </si>
  <si>
    <t>Tech Frio Representações e Serviços Ltda
Springer Carrier Ltda
10.948.651/0001-61
Eng. Marcus Vinícius de Meira
(31) 9 9993-1601</t>
  </si>
  <si>
    <t>PRES Brasil Vendas e Manutenção Ltda
17.818.302/0001-74
Ademir Martins Bento
(31) 2571-2062</t>
  </si>
  <si>
    <t>EXITO ALVES CORREA REPRES.LTDA.
PENNSE RJ
22.182.031/0002-24
(21) 3082-6520</t>
  </si>
  <si>
    <t>VM Brasil</t>
  </si>
  <si>
    <t>HENN AUTOPEÇAS</t>
  </si>
  <si>
    <t>RSA-Sensor</t>
  </si>
  <si>
    <t>AUTOMAÇÃO24H</t>
  </si>
  <si>
    <t>COT-0025</t>
  </si>
  <si>
    <t>ACOSPOSITANO</t>
  </si>
  <si>
    <t>100% metais</t>
  </si>
  <si>
    <t>100% METAIS</t>
  </si>
  <si>
    <t>RIBERFLUID</t>
  </si>
  <si>
    <t>PLAMAX</t>
  </si>
  <si>
    <t>HIDRAUCONEX</t>
  </si>
  <si>
    <t>HIDROMETROECIA</t>
  </si>
  <si>
    <t>ABC DA CONSTRUÇÃO</t>
  </si>
  <si>
    <t>HIDROVÁLVULAS</t>
  </si>
  <si>
    <t>AKVOMETER</t>
  </si>
  <si>
    <t>BRASIL VAPOR</t>
  </si>
  <si>
    <t>VALMAC</t>
  </si>
  <si>
    <t>SOEDRAL</t>
  </si>
  <si>
    <t>MOLY BRASIL</t>
  </si>
  <si>
    <t>LOJA MUNDIAL DO COMERCIO</t>
  </si>
  <si>
    <t>PARAFUSO FACIL</t>
  </si>
  <si>
    <t>ZAVVOR</t>
  </si>
  <si>
    <t>APOSITANO</t>
  </si>
  <si>
    <t>EXITO ALVES CORREA REPRES.LTDA.
PENNSE RJ
22.182.031/0002-24
(21) 3082-6516</t>
  </si>
  <si>
    <t>EXITO ALVES CORREA REPRES.LTDA.
PENNSE RJ
22.182.031/0002-24
(21) 3082-6517</t>
  </si>
  <si>
    <t>EXITO ALVES CORREA REPRES.LTDA.
PENNSE RJ
22.182.031/0002-24
(21) 3082-6518</t>
  </si>
  <si>
    <t>EXITO ALVES CORREA REPRES.LTDA.
PENNSE RJ
22.182.031/0002-24
(21) 3082-6519</t>
  </si>
  <si>
    <t>Tech Frio Representações e Serviços Ltda
Springer Carrier Ltda
10.948.651/0001-61
Eng. Marcus Vinícius de Meira
(31) 9 9993-1602</t>
  </si>
  <si>
    <t>Tech Frio Representações e Serviços Ltda
Springer Carrier Ltda
10.948.651/0001-61
Eng. Marcus Vinícius de Meira
(31) 9 9993-1603</t>
  </si>
  <si>
    <t>Tech Frio Representações e Serviços Ltda
Springer Carrier Ltda
10.948.651/0001-61
Eng. Marcus Vinícius de Meira
(31) 9 9993-1604</t>
  </si>
  <si>
    <t>EXITO ALVES CORREA REPRES.LTDA.
TROX do Brasil Difusão de Ar, Acústica, Filtragem, Ventilação
Ltda.
76.881.093/0002-53
(31) 3291-0755</t>
  </si>
  <si>
    <t>ARTMOSFERA</t>
  </si>
  <si>
    <t>FRIOSHOPPING</t>
  </si>
  <si>
    <t>NOVA EXAUSTORES</t>
  </si>
  <si>
    <t>MULTIVAC</t>
  </si>
  <si>
    <t>FRIGELAR</t>
  </si>
  <si>
    <t xml:space="preserve">ATENUADOR DE RUÍDO COM CARCAÇA E CÉLULAS DE CHAPA GALVANIZADA, COM MATERIAL DE ABSORÇÃO EM LÂ MINERAL REVESTIDO COM TELA DE VIDRO. MODELO KS-200 - ATR-02
VAZÃO DE AR  = 10453 M3/H
PERDA DE CARGA =39 PA
VELOCIDADE NA CÉLULA  = 9,2 M3/H / LW (DB(A)=42 / NÚMERO DE CÉLULAS = 3
LARGURA/ALTURA/COMPRIMENTO = 1000/800/1400 MM / PESO = 101 KG
FREQUENCIA/ATENUAÇÃO  -    63HZ/4   125/11   250/22  500/21  1000/27  2000/19  4000/13  8000/12   
REF.:BERLINER LUFT OU EQUIVALENTE     </t>
  </si>
  <si>
    <t>EXITO ALVES CORREA REPRES.LTDA.
TROX do Brasil Difusão de Ar, Acústica, Filtragem, Ventilação
Ltda.
76.881.093/0002-53
(31) 3291-0756</t>
  </si>
  <si>
    <t>EXITO ALVES CORREA REPRES.LTDA.
TROX do Brasil Difusão de Ar, Acústica, Filtragem, Ventilação
Ltda.
76.881.093/0002-53
(31) 3291-0757</t>
  </si>
  <si>
    <t>EXITO ALVES CORREA REPRES.LTDA.
TROX do Brasil Difusão de Ar, Acústica, Filtragem, Ventilação
Ltda.
76.881.093/0002-53
(31) 3291-0758</t>
  </si>
  <si>
    <t>EXITO ALVES CORREA REPRES.LTDA.
TROX do Brasil Difusão de Ar, Acústica, Filtragem, Ventilação
Ltda.
76.881.093/0002-53
(31) 3291-0759</t>
  </si>
  <si>
    <t>EXITO ALVES CORREA REPRES.LTDA.
TROX do Brasil Difusão de Ar, Acústica, Filtragem, Ventilação
Ltda.
76.881.093/0002-53
(31) 3291-0760</t>
  </si>
  <si>
    <t>EXITO ALVES CORREA REPRES.LTDA.
TROX do Brasil Difusão de Ar, Acústica, Filtragem, Ventilação
Ltda.
76.881.093/0002-53
(31) 3291-0761</t>
  </si>
  <si>
    <t>EXITO ALVES CORREA REPRES.LTDA.
TROX do Brasil Difusão de Ar, Acústica, Filtragem, Ventilação
Ltda.
76.881.093/0002-53
(31) 3291-0762</t>
  </si>
  <si>
    <t>EXITO ALVES CORREA REPRES.LTDA.
TROX do Brasil Difusão de Ar, Acústica, Filtragem, Ventilação
Ltda.
76.881.093/0002-53
(31) 3291-0763</t>
  </si>
  <si>
    <t>EXITO ALVES CORREA REPRES.LTDA.
TROX do Brasil Difusão de Ar, Acústica, Filtragem, Ventilação
Ltda.
76.881.093/0002-53
(31) 3291-0764</t>
  </si>
  <si>
    <t>EXITO ALVES CORREA REPRES.LTDA.
TROX do Brasil Difusão de Ar, Acústica, Filtragem, Ventilação
Ltda.
76.881.093/0002-53
(31) 3291-0765</t>
  </si>
  <si>
    <t>EXITO ALVES CORREA REPRES.LTDA.
TROX do Brasil Difusão de Ar, Acústica, Filtragem, Ventilação
Ltda.
76.881.093/0002-53
(31) 3291-0766</t>
  </si>
  <si>
    <t>EXITO ALVES CORREA REPRES.LTDA.
TROX do Brasil Difusão de Ar, Acústica, Filtragem, Ventilação
Ltda.
76.881.093/0002-53
(31) 3291-0767</t>
  </si>
  <si>
    <t>EXITO ALVES CORREA REPRES.LTDA.
TROX do Brasil Difusão de Ar, Acústica, Filtragem, Ventilação
Ltda.
76.881.093/0002-53
(31) 3291-0768</t>
  </si>
  <si>
    <t>SENSOR DE NÍVEL DE  CO2 PARA AR COM FAIXA DE MEDIDA DE  0 A 2000 PPM. MODELO 22DC-51. SINAL DE  SAÍDA  = 0-10 V (0-5V)  - MICRO-SWITCH. ALIMENTAÇÃO ELÉTRICA (AC/DC) = 24V OBS.: O "SET-POINT" DO SENSOR DEVREÁ SER DE  1.000 PPM.  REF.: BELIMO OU EQUIVALENTE</t>
  </si>
  <si>
    <t xml:space="preserve">GABINETE DE VENTILAÇÃO DOTADO DE MICRO VENTILADOR CENTRÍFUGO TIPO "SIROCCO", MODELO MGD 160; GAB-01, GAB-2 E GAB-03; VAZÃO DE AR INSUFLADO = 325 M3/H. PRESSÃO ESTÁTICA EXTERNA DISPONÍVEL = 12 MMCA. POTÊNCIA MOTOR DO VENTILADOR = 0,05 KW (220V/2Ø/60HZ). DIMENSÕES DA UNIDADE (C/L/H) = 420/420/385 MM. PESO DA UNIDADE = 9 KG. REF.: BERLINER-LUFT  OU EQUIVALENTE   </t>
  </si>
  <si>
    <t>COT-0176</t>
  </si>
  <si>
    <t>SWITCH GERENCIAVEL PARA REDE DE AUTOMAÇÃO - LAYER 2</t>
  </si>
  <si>
    <t>FOURSERV</t>
  </si>
  <si>
    <t>IFONTECH</t>
  </si>
  <si>
    <t>TIMIX</t>
  </si>
  <si>
    <t>COT-0177</t>
  </si>
  <si>
    <t>Controlador lógico programável M 172 com display 42 E/S ETH TM172PDG42R Schneider</t>
  </si>
  <si>
    <t>VALE AUTOMAÇÃO INDUSTRIAL</t>
  </si>
  <si>
    <t>DIMENSIONAL</t>
  </si>
  <si>
    <t xml:space="preserve">ESTRONIC
</t>
  </si>
  <si>
    <t>COT-0178</t>
  </si>
  <si>
    <t>PLASTOLANDIA</t>
  </si>
  <si>
    <t xml:space="preserve">UNICONEXÕES
</t>
  </si>
  <si>
    <t>COT-0179</t>
  </si>
  <si>
    <t>MERC</t>
  </si>
  <si>
    <t>COT-0180</t>
  </si>
  <si>
    <t>Kit Porta de madeira 210x1,0m</t>
  </si>
  <si>
    <t>allmad</t>
  </si>
  <si>
    <t>INOVA MOVEIS PLANEJADOS</t>
  </si>
  <si>
    <t>MADECAUS</t>
  </si>
  <si>
    <t>COT-0181</t>
  </si>
  <si>
    <t>Kit Porta de madeira 210x1,4m</t>
  </si>
  <si>
    <t>COT-0182</t>
  </si>
  <si>
    <t>Kit Porta de madeira 210x1,8m</t>
  </si>
  <si>
    <t>COT-0183</t>
  </si>
  <si>
    <t>Kit Porta de madeira 210x2,0m</t>
  </si>
  <si>
    <t>COT-0184</t>
  </si>
  <si>
    <t>CAIXA DE PASSAGEM 40 X 40 X 20</t>
  </si>
  <si>
    <t xml:space="preserve">ELETRAFO
</t>
  </si>
  <si>
    <t>COLA PARA ISOPOR, LÃ DE VIDRO, LÃ DE ROCHA (GALÃO 3,6L)</t>
  </si>
  <si>
    <t>TOTAL FORROS E ISOLAMENTOS</t>
  </si>
  <si>
    <t>SHOPPING DA COLA</t>
  </si>
  <si>
    <t>TERAC</t>
  </si>
  <si>
    <t>IMPERMIX</t>
  </si>
  <si>
    <t>LERY MERLIN</t>
  </si>
  <si>
    <t xml:space="preserve">UNO COMERCIO
</t>
  </si>
  <si>
    <t>ATMOSFERA BRASIL</t>
  </si>
  <si>
    <t>RENATA TECIDOS</t>
  </si>
  <si>
    <t>LIDER TECIDOS</t>
  </si>
  <si>
    <t>MAGAZINE LUIZA</t>
  </si>
  <si>
    <t>CALHA EM POLIESTIRENO (ISOPOR) EXPANDIDO, AUTO EXTINGUÍVEL, GRAU F1, COM 2" DE ESPESSURA - DIAMETRO = 10" (TUBO DE EPS-T2-F(densidade de 11 a 13
kg/m³) 1000x355,6x355,6(254 int/50,8par))</t>
  </si>
  <si>
    <t>TERMOVALE</t>
  </si>
  <si>
    <t>CALHA EM POLIESTIRENO (ISOPOR) EXPANDIDO, AUTO EXTINGUÍVEL, GRAU F1,COM 2" DE ESPESSURA - DIÂMETRO = 8" (TUBO DE EPS-T2-F(densidade de 11 a 13
kg/m³) 1000x304,8x304,8(203,2int/50,8par))</t>
  </si>
  <si>
    <t>CALHA EM POLIESTIRENO (ISOPOR) EXPANDIDO, AUTO EXTINGUÍVEL, GRAU F1,COM 2" DE ESPESSURA - DIÂMETRO = 5" (TUBO DE EPS-T2-F(densidade de 11 a 13
kg/m³) 1000x228,6x228,6(127int/50,8par)</t>
  </si>
  <si>
    <t>CALHA EM POLIESTIRENO (ISOPOR) EXPANDIDO, AUTO EXTINGUÍVEL, GRAU F1,COM 2" DE ESPESSURA - DIÂMETRO = 4" (TUBO DE EPS-T2-F(densidade de 11 a 13
kg/m³) 1000x203,2x203,2(101,6int/50,8par))</t>
  </si>
  <si>
    <t>CALHA EM POLIESTIRENO (ISOPOR) EXPANDIDO, AUTO EXTINGUÍVEL, GRAU F1,COM 2" DE ESPESSURA - DIÂMETRO = 3" (TUBO DE EPS-T2-F(densidade de 11 a 13
kg/m³) 1000x177,8x177,8(76,2int/50,8par)</t>
  </si>
  <si>
    <t>COT-0194</t>
  </si>
  <si>
    <t>CALHA EM POLIESTIRENO (ISOPOR) EXPANDIDO, AUTO EXTINGUÍVEL, GRAU F1,COM 11/2" DE ESPESSURA - DIÂMETRO = 2" (TUBO DE EPS-T2-F(densidade de 11 a 13
kg/m³) 1000x139,7x139,7(63,5int/38,1par))</t>
  </si>
  <si>
    <t>COT-0195</t>
  </si>
  <si>
    <t>CALHA EM POLIESTIRENO (ISOPOR) EXPANDIDO, AUTO EXTINGUÍVEL, GRAU F1,COM 11/2" DE ESPESSURA - DIÂMETRO = 11/2" (TUBO DE EPS-T2-F(densidade de 11 a 13
kg/m³) 1000x127x127(50,8int/38,1par))</t>
  </si>
  <si>
    <t>COT-0196</t>
  </si>
  <si>
    <t>CALHA EM POLIESTIRENO (ISOPOR) EXPANDIDO, AUTO EXTINGUÍVEL, GRAU F1,COM 11/2" DE ESPESSURA - DIÂMETRO = 11/4" (TUBO DE EPS-T2-F(densidade de 11 a 13
kg/m³) 1000x114,30x114x3(38,1int/38,1par))</t>
  </si>
  <si>
    <t>COT-0197</t>
  </si>
  <si>
    <t>CALHA EM POLIESTIRENO (ISOPOR) EXPANDIDO, AUTO EXTINGUÍVEL, GRAU F1,COM 11/2" DE ESPESSURA - DIÂMETRO = 21/2" (TUBO DE EPS-T2-F(densidade de 11 a 13
kg/m³) 1000x107,95x107,95(31,75int/38,1par))</t>
  </si>
  <si>
    <t>MEGA AR STORE</t>
  </si>
  <si>
    <t>GMIBH</t>
  </si>
  <si>
    <t>ATLAS PARAFUSOS</t>
  </si>
  <si>
    <t>CALHA EM POLIESTIRENO (ISOPOR) EXPANDIDO, AUTO EXTINGUÍVEL, GRAU F1,COM 2" DE ESPESSURA - DIÂMETRO = 6" (TUBO DE EPS-T2-F(densidade de 11 a 13
kg/m³) 1000x254x254(152,4int/50,8par))</t>
  </si>
  <si>
    <t>COT-0201</t>
  </si>
  <si>
    <t>GUARNIÇÃO DE BORRACHA PARA VEDAÇÃO DE VÁLVULA DE 10"</t>
  </si>
  <si>
    <t>COT-0202</t>
  </si>
  <si>
    <t>GUARNIÇÃO DE BORRACHA PARA VEDAÇÃO DE VÁLVULA DE 8"</t>
  </si>
  <si>
    <t>COT-0204</t>
  </si>
  <si>
    <t>GUARNIÇÃO DE BORRACHA PARA VEDAÇÃO DE VÁLVULA DE 5"</t>
  </si>
  <si>
    <t>COT-0205</t>
  </si>
  <si>
    <t>GUARNIÇÃO DE BORRACHA PARA VEDAÇÃO DE VÁLVULA DE 4"</t>
  </si>
  <si>
    <t>COT-0206</t>
  </si>
  <si>
    <t>GUARNIÇÃO DE BORRACHA PARA VEDAÇÃO DE VÁLVULA DE 3"</t>
  </si>
  <si>
    <t>OBS.: Os itens que porventura não apresentarem 3 cotações foram devidamente consultados nos fornecedores citados acima e não se obteve resposta.</t>
  </si>
  <si>
    <t>BDI (BENEFÍCIO E DESPESAS INDIRETAS) - PADRÃO</t>
  </si>
  <si>
    <r>
      <t xml:space="preserve">DETALHAMENTO DO BDI DE CONSTRUÇÃO UTILIZADO PELA ADMINISTRAÇÃO
</t>
    </r>
    <r>
      <rPr>
        <b/>
        <sz val="12"/>
        <color indexed="8"/>
        <rFont val="Calibri"/>
        <family val="2"/>
      </rPr>
      <t>A LICITANTE DEVERÁ APRESENTAR A COMPOSIÇÃO DO SEU BDI</t>
    </r>
  </si>
  <si>
    <t>UNID</t>
  </si>
  <si>
    <t>VALOR</t>
  </si>
  <si>
    <t>DESPESAS INDIRETAS</t>
  </si>
  <si>
    <t>OBS.:</t>
  </si>
  <si>
    <t>ADMINISTRAÇÃO CENTRAL</t>
  </si>
  <si>
    <t>CONSTRUÇÃO DE EDIFÍCIOS
CONFORME ACÓRDÃO Nº 2622/13 e LEI Nº 13.161 DE 31/08/15</t>
  </si>
  <si>
    <t>TABELA COM PARÂMETROS DE BDI - CONFORME ACÓRDÃO 2.622/2013</t>
  </si>
  <si>
    <t>Administração Central (AC)</t>
  </si>
  <si>
    <t>%</t>
  </si>
  <si>
    <t>SEGUROS RISCOS E GARANTIAS</t>
  </si>
  <si>
    <r>
      <t xml:space="preserve">Tipologia de Obra: </t>
    </r>
    <r>
      <rPr>
        <sz val="10"/>
        <color indexed="8"/>
        <rFont val="Arial"/>
        <family val="2"/>
      </rPr>
      <t>Construção de Edifícios</t>
    </r>
  </si>
  <si>
    <t>Seguros e Garantias (S+G)</t>
  </si>
  <si>
    <t>1º Quartil</t>
  </si>
  <si>
    <t>Médio</t>
  </si>
  <si>
    <t>3º Quartil</t>
  </si>
  <si>
    <t>Risco (R)</t>
  </si>
  <si>
    <t>Administração Central</t>
  </si>
  <si>
    <t>DESPESAS FINANCEIRAS</t>
  </si>
  <si>
    <t>Seguro + Garantia</t>
  </si>
  <si>
    <t>Despesas Financeiras (DF)</t>
  </si>
  <si>
    <t>Risco</t>
  </si>
  <si>
    <t>TRIBUTOS (T)</t>
  </si>
  <si>
    <t>Despesas Financeiras</t>
  </si>
  <si>
    <t>ISS*</t>
  </si>
  <si>
    <t>Lucro</t>
  </si>
  <si>
    <t>1.4.2</t>
  </si>
  <si>
    <t>COFINS</t>
  </si>
  <si>
    <t>1.4.3</t>
  </si>
  <si>
    <t>PIS</t>
  </si>
  <si>
    <t>CPRB</t>
  </si>
  <si>
    <t>1.4.4</t>
  </si>
  <si>
    <t>DESONERADO</t>
  </si>
  <si>
    <t>BENEFÍCIOS</t>
  </si>
  <si>
    <t>LUCRO (L)</t>
  </si>
  <si>
    <t>BDI =</t>
  </si>
  <si>
    <t>(1+AC+S+R+G) (1+DF) (1+L)   -  1</t>
  </si>
  <si>
    <t>(1-T)</t>
  </si>
  <si>
    <t>BDI (BENEFÍCIO E DESPESAS INDIRETAS) - DIFERENCIADO</t>
  </si>
  <si>
    <r>
      <t xml:space="preserve">DETALHAMENTO DO BDI DE EQUIPAMENTOS UTILIZADO PELA ADMINISTRAÇÃO
</t>
    </r>
    <r>
      <rPr>
        <b/>
        <sz val="12"/>
        <color indexed="8"/>
        <rFont val="Calibri"/>
        <family val="2"/>
      </rPr>
      <t>A LICITANTE DEVERÁ APRESENTAR A COMPOSIÇÃO DO SEU BDI</t>
    </r>
  </si>
  <si>
    <t>BDI DIFERENCIADO EQUIPAMENTOS
CONFORME ACÓRDÃO Nº 2622/13 e LEI Nº 13.161 DE 31/08/15</t>
  </si>
  <si>
    <t>Fornecimento de Materiais e Equipamentos</t>
  </si>
  <si>
    <r>
      <t xml:space="preserve">ENCARGOS SOCIAIS SOBRE A MÃO DE OBRA </t>
    </r>
    <r>
      <rPr>
        <sz val="16"/>
        <rFont val="Calibri"/>
        <family val="2"/>
        <scheme val="minor"/>
      </rPr>
      <t>(SINAPI)</t>
    </r>
  </si>
  <si>
    <t>DEMONSTRATIVO DE COMPOSIÇÃO DOS ENCARGOS SOCIAIS SOBRE A MÃO DE OBRA</t>
  </si>
  <si>
    <t>HORISTA (%)</t>
  </si>
  <si>
    <t>MENSALISTA (%)</t>
  </si>
  <si>
    <t>Grupo A</t>
  </si>
  <si>
    <t>A1</t>
  </si>
  <si>
    <t xml:space="preserve">INSS </t>
  </si>
  <si>
    <t>A2</t>
  </si>
  <si>
    <t>SESI</t>
  </si>
  <si>
    <t>A3</t>
  </si>
  <si>
    <t>SENAI</t>
  </si>
  <si>
    <t>A4</t>
  </si>
  <si>
    <t>INCRA</t>
  </si>
  <si>
    <t>A5</t>
  </si>
  <si>
    <t xml:space="preserve">SEBRAE </t>
  </si>
  <si>
    <t>A6</t>
  </si>
  <si>
    <t xml:space="preserve">Salário Educação </t>
  </si>
  <si>
    <t>A7</t>
  </si>
  <si>
    <t>Seguro Contra Acidentes de Trabalho</t>
  </si>
  <si>
    <t>A8</t>
  </si>
  <si>
    <t>FGTS</t>
  </si>
  <si>
    <t>A9</t>
  </si>
  <si>
    <t xml:space="preserve">SECONCI </t>
  </si>
  <si>
    <t>A</t>
  </si>
  <si>
    <t xml:space="preserve"> Total</t>
  </si>
  <si>
    <t>Grupo B</t>
  </si>
  <si>
    <t>B1</t>
  </si>
  <si>
    <t>Repouso Semanal Remunerado</t>
  </si>
  <si>
    <t>Não incide</t>
  </si>
  <si>
    <t>B2</t>
  </si>
  <si>
    <t xml:space="preserve">Feriados </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</si>
  <si>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</si>
  <si>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</si>
  <si>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</si>
  <si>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</si>
  <si>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</si>
  <si>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</si>
  <si>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</si>
  <si>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</si>
  <si>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</si>
  <si>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</si>
  <si>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</si>
  <si>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</si>
  <si>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</si>
  <si>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</si>
  <si>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</si>
  <si>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 xml:space="preserve">Salário Maternidade </t>
  </si>
  <si>
    <t>B</t>
  </si>
  <si>
    <t>Grupo C</t>
  </si>
  <si>
    <t>C1</t>
  </si>
  <si>
    <t>Aviso Prévio Indenizado</t>
  </si>
  <si>
    <t>C2</t>
  </si>
  <si>
    <t>Aviso Prévio Trabalhado</t>
  </si>
  <si>
    <t>C3</t>
  </si>
  <si>
    <t xml:space="preserve">Férias Indenizadas </t>
  </si>
  <si>
    <t>C4</t>
  </si>
  <si>
    <t>Depósito Rescisão Sem Justa Causa</t>
  </si>
  <si>
    <t>C5</t>
  </si>
  <si>
    <t xml:space="preserve">Indenização Adicional </t>
  </si>
  <si>
    <t>C</t>
  </si>
  <si>
    <t>Grupo D</t>
  </si>
  <si>
    <t>D1</t>
  </si>
  <si>
    <t>Reincidência de Grupo A sobre Grupo B</t>
  </si>
  <si>
    <t>D2</t>
  </si>
  <si>
    <t>Reincidência de Grupo A sobre Aviso Prévio Trabalhado e Reincidência do FGTS sobre Aviso Prévio Indenizado</t>
  </si>
  <si>
    <t>D</t>
  </si>
  <si>
    <t>TOTAL (A+B+C+D)</t>
  </si>
  <si>
    <r>
      <t xml:space="preserve">* Nota: </t>
    </r>
    <r>
      <rPr>
        <sz val="11"/>
        <color theme="1"/>
        <rFont val="Calibri"/>
        <family val="2"/>
      </rPr>
      <t xml:space="preserve">Encargos Sociais conforme tabela </t>
    </r>
    <r>
      <rPr>
        <b/>
        <sz val="11"/>
        <color indexed="8"/>
        <rFont val="Calibri"/>
        <family val="2"/>
      </rPr>
      <t>SINAPI MG</t>
    </r>
    <r>
      <rPr>
        <sz val="11"/>
        <color indexed="8"/>
        <rFont val="Calibri"/>
        <family val="2"/>
      </rPr>
      <t>, da publicação SINAPI - Cálculos e Parâmetros, 
6ª Edição, atualizada em Dezembro/2023</t>
    </r>
    <r>
      <rPr>
        <b/>
        <sz val="11"/>
        <color indexed="8"/>
        <rFont val="Calibri"/>
        <family val="2"/>
      </rPr>
      <t>.</t>
    </r>
  </si>
  <si>
    <t>Instalações de Drywall e divisórias</t>
  </si>
  <si>
    <t>PAREDE DRYWALL, USO INTERNO, SEM VÃOS</t>
  </si>
  <si>
    <t>PAREDE DRYWALL, USO INTERNO, COM VÃOS</t>
  </si>
  <si>
    <t xml:space="preserve">COT-1 </t>
  </si>
  <si>
    <t>MANTA DE LÃ DE PET. E=50MM.</t>
  </si>
  <si>
    <t>INSTALAÇÃO DE PORTA 90X210 CM - COM FORNECIMENTO DE MATERIAL</t>
  </si>
  <si>
    <t>EMASSAMENTO COM MASSA LÁTEX, APLICAÇÃO EM PAREDE, UMA DEMÃO, LIXAMENTO MANUAL</t>
  </si>
  <si>
    <t>FUNDO SELADOR ACRÍLICO, APLICAÇÃO MANUAL EM PAREDE, UMA DEMÃO</t>
  </si>
  <si>
    <t>PINTURA LÁTEX ACRÍLICA PREMIUM, APLICAÇÃO MANUAL EM PAREDES, DUAS DEMÃOS.</t>
  </si>
  <si>
    <t>RODAPÉ EM POLIESTIRENO -ALTURA 7CM -ESPESSURA 1,5CM</t>
  </si>
  <si>
    <t>CPU-30</t>
  </si>
  <si>
    <t>INSTALAÇÃO DE DIVISÓRIAS MÓDULO CEGO (COM APROVEITAMENTO DE MATERIAL)</t>
  </si>
  <si>
    <t>CPU-29</t>
  </si>
  <si>
    <t>INSTALAÇÃO DE DIVISÓRIAS MÓDULO PORTA (COM APROVEITAMENTO DE MATERIAL)</t>
  </si>
  <si>
    <t>4.4</t>
  </si>
  <si>
    <t>4.5</t>
  </si>
  <si>
    <t>4.6</t>
  </si>
  <si>
    <t>4.7</t>
  </si>
  <si>
    <t>4.8</t>
  </si>
  <si>
    <t>4.9</t>
  </si>
  <si>
    <t>4.10</t>
  </si>
  <si>
    <t>Instalações telefônicas</t>
  </si>
  <si>
    <t>02.14.01</t>
  </si>
  <si>
    <t>DEMOLIÇÃO MANUAL, DE ALVENARIA, INCLUSIVE AFASTAMENTO</t>
  </si>
  <si>
    <t>02.26.01</t>
  </si>
  <si>
    <t>TRANSPORTE DE MATERIAL DEMOLIDO EM CARRINHO DE MÃO DMT &lt;= 50M</t>
  </si>
  <si>
    <t>14.05.21</t>
  </si>
  <si>
    <t>EMBOÇO COM ARGAMASSA DE CIMENTO E AREIA (TRAÇO 1:6)</t>
  </si>
  <si>
    <t>14.05.31</t>
  </si>
  <si>
    <t>REBOCO COM ARGAMASSA DE CIMENTO E AREIA (TRAÇO 1:7)</t>
  </si>
  <si>
    <t>11.82.15</t>
  </si>
  <si>
    <t xml:space="preserve">ABRAÇADEIRA PADRÃO TELEMAR BC-1 </t>
  </si>
  <si>
    <t>11.82.21</t>
  </si>
  <si>
    <t>BLOCO DE LIGAÇÃO INTERNA TIPO BLI-10, PADRÃO TELEBRÁS, INCLUSIVE CONEXÕES</t>
  </si>
  <si>
    <t>11.82.01</t>
  </si>
  <si>
    <t>ANEL GUIA PADRÃO TELEMAR AGS-1</t>
  </si>
  <si>
    <t>11.80.03</t>
  </si>
  <si>
    <t>LANÇAMENTO DE CABOS CI-50 - 20 PARES</t>
  </si>
  <si>
    <t>LANÇAMENTO DE CABOS CI-50 - 2 PARES</t>
  </si>
  <si>
    <t>CPU-9</t>
  </si>
  <si>
    <t>INFRAESTRUTURA PONTO TELEFÔNICO</t>
  </si>
  <si>
    <t>CPU-10</t>
  </si>
  <si>
    <t>INFRAESTRUTURA CAIXA TEL</t>
  </si>
  <si>
    <t>CPU-11</t>
  </si>
  <si>
    <t>INFRAESTRUTURA CAIXA INTERNA</t>
  </si>
  <si>
    <t>11.14.63</t>
  </si>
  <si>
    <t>CAIXA DE PASSAGEM DE PVC, QUADRADA, DE EMBUTIR, 4"X4" REF 91944</t>
  </si>
  <si>
    <t>11.14.61</t>
  </si>
  <si>
    <t>CAIXA DE PASSAGEM DE PVC, RETANGULAR, DE EMBUTIR, 4"X2" REF 92869</t>
  </si>
  <si>
    <t>CPU-4</t>
  </si>
  <si>
    <t xml:space="preserve">CAIXA DE PASSAGEM DE PVC, RETANGULAR, DE SOBREPOR, 4"X4" </t>
  </si>
  <si>
    <t>CPU-3</t>
  </si>
  <si>
    <t xml:space="preserve">CAIXA DE PASSAGEM DE PVC, RETANGULAR, DE SOBREPOR, 4"X2" </t>
  </si>
  <si>
    <t>11.85.05</t>
  </si>
  <si>
    <t>CX INTERNA METAL.-EMBUTIR/SOBREPOR - TELEFONIA Nº6 (100X100X12)CM, C/ PORTA E FUNDO DE MADEIRA</t>
  </si>
  <si>
    <t>CPU-1</t>
  </si>
  <si>
    <t>CANALETA FECHADA COM DIVISOR INTERNO, COM TAMPA, DIMENSÕES  40X16MM, INCLUSIVE INSTALAÇÃO</t>
  </si>
  <si>
    <t>CPU-2</t>
  </si>
  <si>
    <t>CAIXA DE PASSAGEM PVC, SOBREPOR, (30X30X10)CM</t>
  </si>
  <si>
    <t>CPU-5</t>
  </si>
  <si>
    <t>CONJUNTO PARAFUSADO COM PLACA DE ENCAIXE 4" X 2" PARA 3 MÓDULOS</t>
  </si>
  <si>
    <t>CPU-6</t>
  </si>
  <si>
    <t>CONJUNTO PARAFUSADO COM PLACA DE ENCAIXE 4" X 2" PARA 1 MÓDULOS</t>
  </si>
  <si>
    <t>CPU-7</t>
  </si>
  <si>
    <t>CONJUNTO PARAFUSADO COM PLACA DE ENCAIXE 4" X 2" PARA 2 MÓDULOS</t>
  </si>
  <si>
    <t>CPU-8</t>
  </si>
  <si>
    <t>CONJUNTO PARAFUSADO COM PLACA DE ENCAIXE 4" X 4"  PARA 4 MÓDULOS</t>
  </si>
  <si>
    <t>5.7</t>
  </si>
  <si>
    <t>5.8</t>
  </si>
  <si>
    <t>5.9</t>
  </si>
  <si>
    <t>5.10</t>
  </si>
  <si>
    <t>5.11</t>
  </si>
  <si>
    <t>5.12</t>
  </si>
  <si>
    <t>5.13</t>
  </si>
  <si>
    <t>5.14</t>
  </si>
  <si>
    <t>5.15</t>
  </si>
  <si>
    <t>5.16</t>
  </si>
  <si>
    <t>5.17</t>
  </si>
  <si>
    <t>5.18</t>
  </si>
  <si>
    <t>5.19</t>
  </si>
  <si>
    <t>5.20</t>
  </si>
  <si>
    <t>5.21</t>
  </si>
  <si>
    <t>5.22</t>
  </si>
  <si>
    <t>5.23</t>
  </si>
  <si>
    <t>Instalações de Sonorização</t>
  </si>
  <si>
    <t>CPU-12</t>
  </si>
  <si>
    <t>PERFILADO PERFURADO 38X38X300 MM, INCLUSIVE CONEXÕES E INSTALAÇÃO</t>
  </si>
  <si>
    <t>CPU-13</t>
  </si>
  <si>
    <t>INSTALAÇÃO DE GANCHO LONGO PARA PERFILADO</t>
  </si>
  <si>
    <t>CPU-14</t>
  </si>
  <si>
    <t>INSTALAÇÃO DE VERGALHÃO DE AÇO EM PERFILADO</t>
  </si>
  <si>
    <t>CPU-15</t>
  </si>
  <si>
    <t>CABO SOM AMBIENTE POLARIZADO CRISTAL (2X2,5MM), DUAS
VIAS.  COMPOSIÇÃO: PVC + COBRE.</t>
  </si>
  <si>
    <t>CPU-16</t>
  </si>
  <si>
    <t>POTENCIOMETRO</t>
  </si>
  <si>
    <t>CPU-17</t>
  </si>
  <si>
    <t xml:space="preserve">AUTO FALANTE </t>
  </si>
  <si>
    <t>CPU-18</t>
  </si>
  <si>
    <t>LIGAÇÃO ENTROCALHA A POTENCIÔMETRO</t>
  </si>
  <si>
    <t>CPU-19</t>
  </si>
  <si>
    <t>LIGAÇÃO ELETROCALHA A ALTO-FALANTE</t>
  </si>
  <si>
    <t>Informática</t>
  </si>
  <si>
    <t>CPU-20</t>
  </si>
  <si>
    <t>CONJUNTO PARAFUSADO COM PLACA DE ENCAIXE 4" X 2" PARA 3 MÓDULOS - COM RJ-45 FEMEA</t>
  </si>
  <si>
    <t>CPU-21</t>
  </si>
  <si>
    <t>CONJUNTO PARAFUSADO COM PLACA DE ENCAIXE 4" X 2" PARA 1 MÓDULOS - COM RJ-45 FEMEA</t>
  </si>
  <si>
    <t>CPU-22</t>
  </si>
  <si>
    <t>CONJUNTO PARAFUSADO COM PLACA DE ENCAIXE 4" X 2" PARA 2 MÓDULOS -  COM RJ-45 FEMEA</t>
  </si>
  <si>
    <t>CPU-23</t>
  </si>
  <si>
    <t>CONJUNTO PARAFUSADO COM PLACA DE ENCAIXE 4" X 4"  PARA 5 MÓDULOS - COM RJ-45 FEMEA</t>
  </si>
  <si>
    <t>CPU-24</t>
  </si>
  <si>
    <t>INSTALAÇÃO FIBRA OPTICA</t>
  </si>
  <si>
    <t>CPU-25</t>
  </si>
  <si>
    <t>INSTALAÇÃO CONECTOR MACHO RJ 45, CATEGORIA 6 (CAT 6) PARA CABOS</t>
  </si>
  <si>
    <t>INSTALAÇÃO CABO DE REDE, PAR TRANCADO U/UTP, 4 PARES, CATEGORIA 6 (CAT 6)</t>
  </si>
  <si>
    <t>CPU-26</t>
  </si>
  <si>
    <t>INFRAESTRUTURA REDE LÓGICA</t>
  </si>
  <si>
    <t>6.3</t>
  </si>
  <si>
    <t>6.4</t>
  </si>
  <si>
    <t>6.5</t>
  </si>
  <si>
    <t>6.6</t>
  </si>
  <si>
    <t>6.7</t>
  </si>
  <si>
    <t>6.8</t>
  </si>
  <si>
    <t>7.1</t>
  </si>
  <si>
    <t>7.2</t>
  </si>
  <si>
    <t>7.3</t>
  </si>
  <si>
    <t>7.4</t>
  </si>
  <si>
    <t>7.5</t>
  </si>
  <si>
    <t>7.6</t>
  </si>
  <si>
    <t>7.7</t>
  </si>
  <si>
    <t>7.8</t>
  </si>
  <si>
    <t>7.9</t>
  </si>
  <si>
    <t>7.10</t>
  </si>
  <si>
    <t>7.11</t>
  </si>
  <si>
    <t>Armazenamento de divisórias em galpão</t>
  </si>
  <si>
    <t>CPU-27</t>
  </si>
  <si>
    <t>ALUGUEL GALPÃO 180 M^2</t>
  </si>
  <si>
    <t>Mês</t>
  </si>
  <si>
    <t>CPU-28</t>
  </si>
  <si>
    <t>TRANSPORTE DIVISÓRIAS (INCLUSIVE CARGA E DESCARGA)</t>
  </si>
  <si>
    <t>8.1</t>
  </si>
  <si>
    <t>8.2</t>
  </si>
  <si>
    <t>Sistema de alarme de incêndio</t>
  </si>
  <si>
    <t>PERFILADO GALVANIZADO 38MM X 38MM INCLUSIVE CONEXÕES E DEMAIS COMPONENTES</t>
  </si>
  <si>
    <t>CONDULETE EM ALUMÍNIO PARA ELETRODUTO EM AÇO GALVANIZADO 20MM (3/4")</t>
  </si>
  <si>
    <t>CPU-31</t>
  </si>
  <si>
    <t>FORNECIMENTO E LANÇAMENTO DE CABO BLINDADO, 1 PAR (2 VIAS), 0,75MM PARA ALARME DE INCÊNDIO, 600V, CL4</t>
  </si>
  <si>
    <t>FORNECIMENTO E LANÇAMENTO DE CABO DE COBRE FLEXÍVEL ISOLADO, 2,5 MM², ANTI-CHAMA 0,6/1,0 KV</t>
  </si>
  <si>
    <t>ED-50180</t>
  </si>
  <si>
    <t>ACIONADOR MANUAL BOTOEIRA, TIPO QUEBRE O VIDRO, COM SIRENE ACOPLADA PARA ALARME (COMPATÍVEL COM CENTRAL)</t>
  </si>
  <si>
    <t>9.1</t>
  </si>
  <si>
    <t>9.2</t>
  </si>
  <si>
    <t>9.3</t>
  </si>
  <si>
    <t>9.4</t>
  </si>
  <si>
    <t>9.5</t>
  </si>
  <si>
    <t>9.6</t>
  </si>
  <si>
    <t>Banheiro acessível</t>
  </si>
  <si>
    <t>ALVENARIA E ACABAMENTO DE PAREDES</t>
  </si>
  <si>
    <t>ALVENARIA DE VEDAÇÃO EM BLOCOS DE CONCRETO CELULAR AUTOCLAVADO, ESPESSURA 15 CM (BL. 15X30X60CM)</t>
  </si>
  <si>
    <t>CONCRETO FCK=15MPA, PARA PILARETES DE AMARRAÇÃO DA ALVENARIA (06 PILARETES SEÇÃO 15X15CM, H=3,0M)</t>
  </si>
  <si>
    <t>ARMAÇÃO DE PILARETE EM CONCRETO ARMADO  PARA AMARRAÇÃO DE ALVENARIA (BARRAS LONGITUDINAIS - 06 PILARETES COM 4Ø=6.3MM)</t>
  </si>
  <si>
    <t>ARMAÇÃO DE PILARETE EM CONCRETO ARMADO  PARA AMARRAÇÃO DE ALVENARIA (ESTRIBOS C/20CM - Ø=4.2MM)</t>
  </si>
  <si>
    <t>CHAPISCO NO TRAÇO 1:3 APLICADO COM COLHER</t>
  </si>
  <si>
    <t>EMBOÇO PARA RECEBIMENTO DE REVESTIMENTO CERÂMICO</t>
  </si>
  <si>
    <t>ED-50716</t>
  </si>
  <si>
    <t>SETOPMG</t>
  </si>
  <si>
    <t xml:space="preserve">REVESTIMENTO COM AZULEJO BRANCO (15X15CM) ASSENTADO COM ARGAMASSA INDUSTRIALIZADA ACIII, INCLUSIVE REJUNTAMENTO </t>
  </si>
  <si>
    <t>FORNECIMENTO E INSTALAÇÃO DE PORTA/KIT COMPLETO DE MADEIRA EM ACABAMENTO MELAMÍNICO BRANCO, FOLHA PESADA OU SUPERPESADA E=40 A 45MM, 90X210CM, FIXAÇÃO COM PREENCHIMENTO TOTAL DE ESPUMA EXPANSIVA (INCLUSIVE MARCO E ALISARES).</t>
  </si>
  <si>
    <t>ED-51150</t>
  </si>
  <si>
    <t>FORNECIMENTO E INSTALAÇÃO DE ESPELHO CRISTAL, DIMENSÃO (60X90CM), COM ESPESSURA 4MM, EM ACABAMENTO LAPIDADO, INCLUSIVE FIXAÇÃO COM PARAFUSO TIPO FINESSON.</t>
  </si>
  <si>
    <t>TETO E PISO</t>
  </si>
  <si>
    <t>FORRO EM GESSO ACARTONADO ESTRUTURADO EM DRYWALL</t>
  </si>
  <si>
    <t>CPU-32</t>
  </si>
  <si>
    <t>FORNECIMENTO E INSTALAÇÃO DE EXAUSTOR PARA BANHEIRO 150MM, INCLUSIVE DUTO</t>
  </si>
  <si>
    <t>PINTURA LÁTEX ACRÍLICA EM TETO, APLICAÇÃO MANUAL, EM DUAS DEMÃOS</t>
  </si>
  <si>
    <t>IMPERMEABILIZAÇÃO DE SUPERFÍCIE COM ARGAMASSA POLIMÉRICA / MEMBRANA ACRÍLICA EM 3 DEMÃOS</t>
  </si>
  <si>
    <t>PISO EM GRANITO CINZA ANDORINHA</t>
  </si>
  <si>
    <t>RODAPÉ EM GRANITO CINZA ANDORINHA, H=10CM</t>
  </si>
  <si>
    <t>CPU-36</t>
  </si>
  <si>
    <t>CPU</t>
  </si>
  <si>
    <t>PONTO DE CONSUMO TERMINAL DE ÁGUA FRIA (SUBRAMAL COMPLETO) COM TUBULAÇÃO DE PVC, DN 25MM, INSTALADO EM RAMAL DE ÁGUA, INCLUSOS RASGO E CHUMBAMENTO EM ALVENARIA. (PONTO PARA LAVATÓRIO, VASO SANITÁRIO E DUCHA HIGIÊNICA)</t>
  </si>
  <si>
    <t>FORNECIMENTO E INSTALAÇÃO DE TUBO SOLDÁVEL PARA ÁGUA FRIA DN 25MM - RAMAL/INTERLIGAÇÃO</t>
  </si>
  <si>
    <t>FORNECIMENTO E INSTALAÇÃO DE TUBO SOLDÁVEL PARA ÁGUA FRIA DN 50MM - RAMAL/INTERLIGAÇÃO</t>
  </si>
  <si>
    <t>FORNECIMENTO E INSTALAÇÃO DE REGISTRO DE GAVETA 1 1/2" DE LATÃO ROSCÁVEL (50MM),  INCLUSIVE CONEXÕES, ACABAMENTO E CANOPLAS CROMADOS</t>
  </si>
  <si>
    <t>CPU-33</t>
  </si>
  <si>
    <t>FORNECIMENTO E INSTALAÇÃO DE LAVATÓRIO ACESSÍVEL SUSPENSO RETANGULAR 20X60X42CM BRANCO ACESSO REF. CELITE OU SIMILAR CONF.  NBR9050/2020</t>
  </si>
  <si>
    <t xml:space="preserve">SIFÃO TUBO EXTENSIVO </t>
  </si>
  <si>
    <t>VÁLVULA EM INOX PARA LAVATÓRIO</t>
  </si>
  <si>
    <t>CPU-34</t>
  </si>
  <si>
    <t>FORNECIMENTO E INSTALAÇÃO DE TORNEIRA AUTOMÁTICA COM ALAVANCA PARA PCD CONFORME ITEM 7.8.2 NBR9050/2020</t>
  </si>
  <si>
    <t>MANGUEIRA ENGATE FLEXÍVEL AÇO INOX</t>
  </si>
  <si>
    <t>CONJUNTO DE PONTOS DE COLETA DE ESGOTO PARA BANHEIRO (RAMAL DE ESGOTO SANITÁRIO) EM PVC SÉRIE NORMAL, COM TUBOS, CONEXÕES, RALOS, CAIXAS SIFONADAS, CORTES E FIXAÇÕES EM PRÉDIO, INCLUSIVE PRUMADA E/OU CONEXÃO.  (CONJUNTO COMPLETO DE PONTOS PARA O BANHEIRO, INC. PONTO ESGOTO PARA VASO SANITÁRIO E LAVATÓRIO)</t>
  </si>
  <si>
    <t>TUBO PVC, SÉRIE NORMAL, ESGOTO PREDIAL, DN 40 MM, FORNECIDO E INSTALADO - INTERLIGAÇÃO</t>
  </si>
  <si>
    <t>TUBO PVC, SÉRIE NORMAL, ESGOTO PREDIAL, DN 75 MM, FORNECIDO E INSTALADO - INTERLIGAÇÃO</t>
  </si>
  <si>
    <t>TUBO PVC, SÉRIE NORMAL, ESGOTO PREDIAL, DN 100 MM, FORNECIDO E INSTALADO - INTERLIGAÇÃO</t>
  </si>
  <si>
    <t>FURO EM LAJE DN50MM</t>
  </si>
  <si>
    <t>FURO EM LAJE DN75MM</t>
  </si>
  <si>
    <t>FURO EM LAJE DN100MM</t>
  </si>
  <si>
    <t>CPU-35</t>
  </si>
  <si>
    <t>FORNECIMENTO E INSTALAÇÃO DE VASO SANITÁRIO SIFONADO COM CAIXA ACOPLADA PARA PCD, SEM FURO FRONTAL ,EM LOUÇA BRANCA, INCLUSO CONJUNTO COMPLETO PARA LIGAÇÃO E ASSENTO (REF. CELITE OU SIMILAR) CONF.  NBR9050/2020</t>
  </si>
  <si>
    <t>ED-50316</t>
  </si>
  <si>
    <t>FORNECIMENTO E INSTALAÇÃO DE DUCHA HIGIÊNICA COM REGISTRO PARA CONTROLE DE FLUXO DE ÁGUA, DIÂMETRO 1/2" (20MM).</t>
  </si>
  <si>
    <t>BARRAS PARA ACESSIBILIDADE</t>
  </si>
  <si>
    <t>FORNECIMENTO E INSTALAÇÃO DE BARRA DE APOIO RETA, EM AÇO INOX POLIDO, COMPRIMENTO 80CM, FIXADA NA PAREDE, PARA O VASO SANITÁRIO, CONF. NBR9050/2020.</t>
  </si>
  <si>
    <t>ED-48163</t>
  </si>
  <si>
    <t>FORNECIMENTO E INSTALAÇÃO DE BARRA DE APOIO EM AÇO INOX POLIDO, RETA, DN 1.1/4", PARA ACESSIBILIDADE (PMR/PCR), COMPRIMENTO 40 CM, INSTALADO EM PORTA E/OU PAREDE, INCLUSIVE ACESSÓRIOS PARA FIXAÇÃO (2 P/ PORTA E 2 P/ LAVATÓRIO) CONF. NBR9050/2020</t>
  </si>
  <si>
    <t>FORNECIMENTO E INSTALAÇÃO DE BARRA DE APOIO EM AÇO INOX POLIDO, RETA, DN 1.1/4", PARA ACESSIBILIDADE (PMR/PCR), COMPRIMENTO 80CM, ARTICULADA, CONF. NBR9050/2020.</t>
  </si>
  <si>
    <t>INSTALAÇÕES ELÉTRICAS</t>
  </si>
  <si>
    <t>QUADRO DE DISTRIBUIÇÃO DE ENERGIA PARA 3 DISJUNTORES EM PVC</t>
  </si>
  <si>
    <t>DISJUNTOR MONOPOLAR 10A A 30A</t>
  </si>
  <si>
    <t>ED-50227</t>
  </si>
  <si>
    <t>PONTO DE EMBUTIR PARA UM (1) INTERRUPTOR SIMPLES (10A- 250V),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</si>
  <si>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 xml:space="preserve">INTERRUPTOR SIMPLES, 1 MÓDULO, 10A/250V, INCLUINDO SUPORTE E PLACA (COMPLETO)  </t>
  </si>
  <si>
    <t>CABO DE COBRE FLEXÍVEL ISOLADO, 2,5 MM², ANTI-CHAMA 0,6/1,0 KV PARA INTERLIGAÇÃO DE CIRCUITOS</t>
  </si>
  <si>
    <t>ED-50228</t>
  </si>
  <si>
    <t>PONTO DE EMBUTIR PARA UMA (1) LUMINÁRIA COM ELETRODUTO DE PVC RÍGIDO ROSCÁVEL, DN 20MM (3/4"), EMBUTIDO NA LAJE E CABO DE COBRE FLEXÍVEL, CLASSE 5, ISOLAMENTO TIPO LSHF/ ATOX, NÃO HALOGENADO, SEÇÃO 1,5MM2 (70°C-450/750V), COM DISTÂNCIA DE ATÉ CINCO (5) METROS DO PONTO DE DERIVAÇÃO, EXCLUSIVE LUMINÁRIA, INCLUSIVE CAIXA DE LIGAÇÃO OCTOGONAL, SUPORTE E FIXAÇÃO DO ELETRODUTO.</t>
  </si>
  <si>
    <t>ED-13338</t>
  </si>
  <si>
    <t>LUMINÁRIA COMERCIAL CHANFRADA DE SOBREPOR COMPLETA, PARA DUAS (2) LÂMPADAS TUBULARES LED 2X18W-ØT8, TEMPERATURA DA COR 6500K, FORNECIMENTO E INSTALAÇÃO, INCLUSIVE BASE E LÂMPADAS</t>
  </si>
  <si>
    <t>CABO DE COBRE FLEXÍVEL ISOLADO, 1,5 MM², ANTI-CHAMA 0,6/1,0 KV PARA INTERLIGAÇÃO E MONTAGEM DE CIRCUITOS</t>
  </si>
  <si>
    <t>ED-50232</t>
  </si>
  <si>
    <t>PONTO DE EMBUTIR PARA UMA (1) TOMADA PADRÃO, TRÊS (3) POLOS (2P+T/10A-250V), COM PLACA 4"X2" DE UM (1) POSTO, COM ELETRODUTO FLEXÍVEL CORRUGADO, ANTI-CHAMA, DN 25MM (3/ 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</si>
  <si>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TOMADA DE EMBUTIR (DUPLA), 2 MÓDULOS, 2P+T, 10 A, INCLUINDO SUPORTE E PLACA</t>
  </si>
  <si>
    <t>CABO DE COBRE FLEXÍVEL ISOLADO, 2,5 MM², ANTI-CHAMA 0,6/1,0 KV PARA INTERLIGAÇÃO E MONTAGEM DE CIRCUITOS</t>
  </si>
  <si>
    <t>10.1</t>
  </si>
  <si>
    <t>10.1.1</t>
  </si>
  <si>
    <t>10.1.2</t>
  </si>
  <si>
    <t>10.1.3</t>
  </si>
  <si>
    <t>10.1.4</t>
  </si>
  <si>
    <t>10.1.5</t>
  </si>
  <si>
    <t>10.1.6</t>
  </si>
  <si>
    <t>10.1.7</t>
  </si>
  <si>
    <t>10.1.8</t>
  </si>
  <si>
    <t>10.1.9</t>
  </si>
  <si>
    <t>10.2</t>
  </si>
  <si>
    <t>10.2.1</t>
  </si>
  <si>
    <t>10.2.2</t>
  </si>
  <si>
    <t>10.2.3</t>
  </si>
  <si>
    <t>10.2.4</t>
  </si>
  <si>
    <t>10.2.5</t>
  </si>
  <si>
    <t>10.2.6</t>
  </si>
  <si>
    <t>10.3</t>
  </si>
  <si>
    <t>10.3.1</t>
  </si>
  <si>
    <t>10.3.2</t>
  </si>
  <si>
    <t>10.3.3</t>
  </si>
  <si>
    <t>10.3.4</t>
  </si>
  <si>
    <t>10.3.5</t>
  </si>
  <si>
    <t>10.3.6</t>
  </si>
  <si>
    <t>10.3.7</t>
  </si>
  <si>
    <t>10.3.8</t>
  </si>
  <si>
    <t>10.3.9</t>
  </si>
  <si>
    <t>10.3.10</t>
  </si>
  <si>
    <t>10.3.11</t>
  </si>
  <si>
    <t>10.3.12</t>
  </si>
  <si>
    <t>10.3.13</t>
  </si>
  <si>
    <t>10.3.14</t>
  </si>
  <si>
    <t>10.3.15</t>
  </si>
  <si>
    <t>10.3.16</t>
  </si>
  <si>
    <t>10.3.17</t>
  </si>
  <si>
    <t>10.3.18</t>
  </si>
  <si>
    <t>10.3.19</t>
  </si>
  <si>
    <t>10.4</t>
  </si>
  <si>
    <t>10.4.1</t>
  </si>
  <si>
    <t>10.4.2</t>
  </si>
  <si>
    <t>10.4.3</t>
  </si>
  <si>
    <t>10.5</t>
  </si>
  <si>
    <t>10.5.1</t>
  </si>
  <si>
    <t>10.5.2</t>
  </si>
  <si>
    <t>10.5.3</t>
  </si>
  <si>
    <t>10.5.4</t>
  </si>
  <si>
    <t>10.5.5</t>
  </si>
  <si>
    <t>10.5.6</t>
  </si>
  <si>
    <t>10.5.7</t>
  </si>
  <si>
    <t>10.5.8</t>
  </si>
  <si>
    <t>10.5.9</t>
  </si>
  <si>
    <t>10.5.10</t>
  </si>
  <si>
    <t>10.5.11</t>
  </si>
  <si>
    <t xml:space="preserve">Disjuntor tipo DIN/IEC, monopolar de 6 até 32A. </t>
  </si>
  <si>
    <t>Eletroduto de PVC rigido de Ø3/4", sem luva</t>
  </si>
  <si>
    <t>Luva em PVC rigido roscavel, de Ø3/4", para eletroduto.</t>
  </si>
  <si>
    <t>Curva 90 graus, longa de PVC rigido roscabel de Ø3/4" para eletroduto.</t>
  </si>
  <si>
    <t>Condulete em PVC, tipo "C", sem tampa de Ø3/4".</t>
  </si>
  <si>
    <t>Condulete em PVC, tipo "T", sem tampa de Ø3/4".</t>
  </si>
  <si>
    <t>Condulete em PVC, tipo "E", sem tampa de Ø3/4".</t>
  </si>
  <si>
    <t>Tampa para condulete em PVC com 1 ou 2 ou 3 postos para interruptor</t>
  </si>
  <si>
    <t>Tampa para condulete em PVC com tomada hexagonal</t>
  </si>
  <si>
    <t>Tampa para condulete em PVC com 1 modulo RJ.</t>
  </si>
  <si>
    <t>Luminaria LED plafon redondo de sobreport bivolt 12/13W, D=17cm.</t>
  </si>
  <si>
    <t>Cabo de cobre, flexivel, classe 4 ou 5, isolação em PVC /A, antichama BWF-B, cobertura PVC-ST1, antichama , 1 condutor, 0,6/1 KV, seção nominal 2,5mm².</t>
  </si>
  <si>
    <t>Cabo de par trançado UTP, 4 pares, categoria 5E.</t>
  </si>
  <si>
    <t>11.1</t>
  </si>
  <si>
    <t>11.1.1</t>
  </si>
  <si>
    <t>11.1.2</t>
  </si>
  <si>
    <t>11.1.3</t>
  </si>
  <si>
    <t>11.1.4</t>
  </si>
  <si>
    <t>11.1.5</t>
  </si>
  <si>
    <t>11.1.6</t>
  </si>
  <si>
    <t>11.1.7</t>
  </si>
  <si>
    <t>11.1.8</t>
  </si>
  <si>
    <t>11.1.9</t>
  </si>
  <si>
    <t>11.1.10</t>
  </si>
  <si>
    <t>11.1.11</t>
  </si>
  <si>
    <t>11.1.12</t>
  </si>
  <si>
    <t>11.1.13</t>
  </si>
  <si>
    <t>CABINE DE MEDIÇÃO</t>
  </si>
  <si>
    <t>Demolições</t>
  </si>
  <si>
    <t>DEM-006</t>
  </si>
  <si>
    <t>Remoção de suporte para TC e TP</t>
  </si>
  <si>
    <t>DEM-007</t>
  </si>
  <si>
    <t>Remoção de disjuntor à vácuo</t>
  </si>
  <si>
    <t>Remoção de medidor CEMIG</t>
  </si>
  <si>
    <t>Carga e Transporte de Equipamentos</t>
  </si>
  <si>
    <t>Carga e descarga de equipamentos pesados com caminhão munck</t>
  </si>
  <si>
    <t>Limpeza da Obra</t>
  </si>
  <si>
    <t>Limpeza permanente da obra</t>
  </si>
  <si>
    <t>ED-51131</t>
  </si>
  <si>
    <t>Remoção e carga manual de resíduo de obra</t>
  </si>
  <si>
    <t xml:space="preserve">ED-51125 </t>
  </si>
  <si>
    <t>Destinação de resíduo de obra em caçamba</t>
  </si>
  <si>
    <t>11.2</t>
  </si>
  <si>
    <t>11.2.1</t>
  </si>
  <si>
    <t>11.2.2</t>
  </si>
  <si>
    <t>11.2.3</t>
  </si>
  <si>
    <t>11.3</t>
  </si>
  <si>
    <t>11.3.1</t>
  </si>
  <si>
    <t>11.4</t>
  </si>
  <si>
    <t>11.4.1</t>
  </si>
  <si>
    <t>11.4.2</t>
  </si>
  <si>
    <t>11.4.3</t>
  </si>
  <si>
    <t>Radier para cabine de medição</t>
  </si>
  <si>
    <t>Malha eletrosoldada de aço nervurado CA-60, DN 8mm, C/10cm (ref. Q503 - Arcelor Mittal)</t>
  </si>
  <si>
    <t>Kg</t>
  </si>
  <si>
    <t>Espaçador treliçado em aço, h=10cm (ref. BE10)</t>
  </si>
  <si>
    <t>Concreto usinado FCK 25MPA, com lançamento por bomba, adensamento mecânico e  acabamento (H=15CM).</t>
  </si>
  <si>
    <t>Escavação manual para radier</t>
  </si>
  <si>
    <t>Compactação mecânica de solo para execução de radier</t>
  </si>
  <si>
    <t>Fabricação, montagem e desmontagem de forma para radier (caixaria), inc. travamento lateral</t>
  </si>
  <si>
    <t>Camada separadora para execução de radier em lona plástica</t>
  </si>
  <si>
    <t>Lastro de concreto magro</t>
  </si>
  <si>
    <t>Remoção de árvore</t>
  </si>
  <si>
    <t>unid.</t>
  </si>
  <si>
    <t>Remoção de raízes remanescentes de tronco de árvore</t>
  </si>
  <si>
    <t>Preenchimento de caixa de esgoto existente com areia adensada</t>
  </si>
  <si>
    <t>Escavação manual para construção de caixa para esgoto/pluvial e abertura de vala</t>
  </si>
  <si>
    <t>BOCA PARA BUEIRO SIMPLES TUBULAR D = 80 CM EM CONCRETO</t>
  </si>
  <si>
    <t>ED-48666</t>
  </si>
  <si>
    <t>Tampão circular em ferro fundido para caixa</t>
  </si>
  <si>
    <t>Unid.</t>
  </si>
  <si>
    <t>Fornecimento e instalação de tubo de PVC Ø 200mm, inclusive conexões</t>
  </si>
  <si>
    <t>RAD-001</t>
  </si>
  <si>
    <t>Fornecimento de gradil completo em tela metálica revestida em PVC na cor verde, Ref. Nylofor ou similar (tela e perfis de suporte para parafusar)</t>
  </si>
  <si>
    <t>RAD-002</t>
  </si>
  <si>
    <t>Montagem e instalação completa de portão para gradil em tela metálica, Ref. Nylofor ou similar, min. 1,20m largura (tela, perfis de sustentação e demais componentes).</t>
  </si>
  <si>
    <r>
      <t>m</t>
    </r>
    <r>
      <rPr>
        <b/>
        <sz val="11"/>
        <color indexed="8"/>
        <rFont val="Calibri"/>
        <family val="2"/>
      </rPr>
      <t xml:space="preserve">² </t>
    </r>
  </si>
  <si>
    <t>INSTALAÇÕES DE PREVENÇÃO E COMBATE A INCÊNDIO E PÂNICO</t>
  </si>
  <si>
    <t>Extintor de incêndio portátil com carga de pó químico seco, de 6kg, classe ABC</t>
  </si>
  <si>
    <t>Caixa de incêndio 45X75X17CM - Fornecimento e instalação</t>
  </si>
  <si>
    <t>11.5</t>
  </si>
  <si>
    <t>11.5.1</t>
  </si>
  <si>
    <t>11.5.2</t>
  </si>
  <si>
    <t>11.5.3</t>
  </si>
  <si>
    <t>11.5.4</t>
  </si>
  <si>
    <t>11.5.5</t>
  </si>
  <si>
    <t>11.5.6</t>
  </si>
  <si>
    <t>11.5.7</t>
  </si>
  <si>
    <t>11.5.8</t>
  </si>
  <si>
    <t>11.5.9</t>
  </si>
  <si>
    <t>11.5.10</t>
  </si>
  <si>
    <t>11.5.11</t>
  </si>
  <si>
    <t>11.5.12</t>
  </si>
  <si>
    <t>11.5.13</t>
  </si>
  <si>
    <t>11.5.14</t>
  </si>
  <si>
    <t>11.5.15</t>
  </si>
  <si>
    <t>11.5.16</t>
  </si>
  <si>
    <t>11.5.17</t>
  </si>
  <si>
    <t>11.6</t>
  </si>
  <si>
    <t>11.6.1</t>
  </si>
  <si>
    <t>11.6.2</t>
  </si>
  <si>
    <t>Equipamentos Elétricos</t>
  </si>
  <si>
    <t>Cotação</t>
  </si>
  <si>
    <t>TFM-001</t>
  </si>
  <si>
    <t>Cabine primaria convencional 15kV, Cemig, uso externo Blindada.</t>
  </si>
  <si>
    <t>Eletrodutos e Acessórios</t>
  </si>
  <si>
    <t>COPASA</t>
  </si>
  <si>
    <t>Eletroduto em aço galvanizado, ø4" (100mm), para circuitos terminais, instalação aparente</t>
  </si>
  <si>
    <t>Curva 90° aço galvanizado para eletroduto, Ø4" (100mm),.</t>
  </si>
  <si>
    <t>Luva para eletroduto em aço galvanizado, Ø4" (100mm).</t>
  </si>
  <si>
    <t>Rede subterranea de dutos flexíveis corrugados em PEAD 2X4".</t>
  </si>
  <si>
    <t>Arame galvanizado 14 BWG.</t>
  </si>
  <si>
    <t>Caixas e Acessórios</t>
  </si>
  <si>
    <t>ED-49201</t>
  </si>
  <si>
    <t>Caixa tipo ZC - passeio com tampa articulada 77x67x90cm e dispositivo para lacre. Fornecimento do aro metálico e caixa em alvenaria/concreto</t>
  </si>
  <si>
    <t>Condutores Elétricos</t>
  </si>
  <si>
    <t>Cabo de energia média tensão flexível unipolar formado por fios de cobre eletrolítico, têmpera mole, encordoamento classe 5, isolação em composto termoplástico a base de cloreto de polivinila EPR 90°C, cobertura em composto termoplástico a base de cloreto de polivinila, flexível,  tipo ST1, seção nominal de #35mm2, para tensões de 15kV, linha Vinil Flexível, ref.: FICAP, GSETTE, PRYSMIAN ou equivalente</t>
  </si>
  <si>
    <t>Condutor de cobre nu #70mm², têmpera meia dura, classe 2, embutido em eletroduto junto com condutor 15kV de #35mm², para entrada de energia</t>
  </si>
  <si>
    <t>SABESP</t>
  </si>
  <si>
    <t>EL06073</t>
  </si>
  <si>
    <t>Mufla terminal primaria unipolar uso interno para cabo 35mm², isolação 15kV em EPR.</t>
  </si>
  <si>
    <t xml:space="preserve">Malha de aterramento </t>
  </si>
  <si>
    <t xml:space="preserve">Haste de aterramento com caixa </t>
  </si>
  <si>
    <t>Terminal a compressão #50mm²</t>
  </si>
  <si>
    <t>11.7</t>
  </si>
  <si>
    <t>11.7.1</t>
  </si>
  <si>
    <t>11.8</t>
  </si>
  <si>
    <t>11.8.1</t>
  </si>
  <si>
    <t>11.8.2</t>
  </si>
  <si>
    <t>11.8.3</t>
  </si>
  <si>
    <t>11.8.4</t>
  </si>
  <si>
    <t>11.8.5</t>
  </si>
  <si>
    <t>11.9</t>
  </si>
  <si>
    <t>11.9.1</t>
  </si>
  <si>
    <t>11.10</t>
  </si>
  <si>
    <t>11.10.1</t>
  </si>
  <si>
    <t>11.10.2</t>
  </si>
  <si>
    <t>11.10.3</t>
  </si>
  <si>
    <t>11.11</t>
  </si>
  <si>
    <t>11.11.1</t>
  </si>
  <si>
    <t>11.11.2</t>
  </si>
  <si>
    <t>11.11.3</t>
  </si>
  <si>
    <t>PRO-001</t>
  </si>
  <si>
    <t>ED-50266</t>
  </si>
  <si>
    <t>11.12</t>
  </si>
  <si>
    <t>11.12.1</t>
  </si>
  <si>
    <t>11.13</t>
  </si>
  <si>
    <t>11.13.1</t>
  </si>
  <si>
    <t>Limpeza de obra</t>
  </si>
  <si>
    <t>Elaboração, revisão e fornecimento dos desenhos como construído (“as built”) das redes elétricas e cabine instalada</t>
  </si>
  <si>
    <t>Limpeza</t>
  </si>
  <si>
    <t>Instalação de tapume e aluguel de container</t>
  </si>
  <si>
    <t>TAPUME COM TELHA METÁLICA. AF_03/2024</t>
  </si>
  <si>
    <t>M^2</t>
  </si>
  <si>
    <t>ED-16350</t>
  </si>
  <si>
    <t>LOCAÇÃO DE CONTAINER COM ISOLAMENTO TÉRMICO, TIPO 3, PARA DEPÓSITO/FERRAMENTARIA DE OBRA, COM MEDIDAS REFERENCIAIS DE (6) METROS COMPRIMENTO, (2,3) METROS LARGURA E (2,5) METROS ALTURA ÚTIL INTERNA, INCLUSIVE LIGAÇÕES ELÉTRICAS INTERNAS, EXCLUSIVE MOBILIZAÇÃO/ DESMOBILIZAÇÃO E LIGAÇÕES PROVISÓRIAS EXTERNAS</t>
  </si>
  <si>
    <t>ED-50137</t>
  </si>
  <si>
    <t>MOBILIZAÇÃO E DESMOBILIZAÇÃO DE CONTAINER, INCLUSIVE CARGA, DESCARGA E TRANSPORTE EM CAMINHÃO CARROCERIA COM GUINDAUTO (MUNCK), EXCLUSIVE LOCAÇÃO DO CONTAINER</t>
  </si>
  <si>
    <t>12.1</t>
  </si>
  <si>
    <t>12.2</t>
  </si>
  <si>
    <t>12.3</t>
  </si>
  <si>
    <t>Consolidação dos orçamentos complementares CMBH</t>
  </si>
  <si>
    <t>Tainá Verona</t>
  </si>
  <si>
    <t>Mês 13</t>
  </si>
  <si>
    <t>Mês 14</t>
  </si>
  <si>
    <t>Mês 15</t>
  </si>
  <si>
    <t>2.4.1.1.2</t>
  </si>
  <si>
    <t>INSTALAÇÃO DE UNIDADE RESFRIADORA DE ÁGUA "CHILLER" COM CONDENSAÇÃO A AR,  COMPRESSOR VFD PARAFUSO COM PROTEÇÃO ACÚSTICA, VENTILADORES DO CONDENSADOR COM VARIADOR DE FREQUENCIA, REFRIGERANTE R-134A. MODELO 30XV180H - UR-01 E UR-02. CAPACIDADE FRIGORÍFICA = 633 KW (180TR) EFICÊNCIA 9COPR) = 3,437 KW/KW. TEMPERATURA DE ENTRADA/SAÍDA DA ÁGUA = 12,5°C/7,0°C. VAZÃO DE ÁGUA GELADA =102,5 M3/H. POTENCIA ELÉTRICA = 168,4 KW (220V/3F/60HZ). DIMENSÕES (L/A/C) = 2237/2512/7661 MM; PESO = 6391 KG.  REF.: CARRIER OU EQUIVALENTE</t>
  </si>
  <si>
    <t>FORNECIMENTO DE UNIDADE RESFRIADORA DE ÁGUA "CHILLER" COM CONDENSAÇÃO A AR,  COMPRESSOR VFD PARAFUSO COM PROTEÇÃO ACÚSTICA, VENTILADORES DO CONDENSADOR COM VARIADOR DE FREQUENCIA, REFRIGERANTE R-134A. MODELO 30XV180H - UR-01 E UR-02. CAPACIDADE FRIGORÍFICA = 633 KW (180TR) EFICÊNCIA 9COPR) = 3,437 KW/KW. TEMPERATURA DE ENTRADA/SAÍDA DA ÁGUA = 12,5°C/7,0°C. VAZÃO DE ÁGUA GELADA =102,5 M3/H. POTENCIA ELÉTRICA = 168,4 KW (220V/3F/60HZ). DIMENSÕES (L/A/C) = 2237/2512/7661 MM; PESO = 6391 KG.  REF.: CARRIER OU EQUIVALENTE</t>
  </si>
  <si>
    <t>FORNECIMENTO DE BOMBA CENTRÍFUGA, SUCÇÃO HORIZONTAL, DECARGA VERTICAL PARA CIMA, COM MOTOR ELÉTRICO, MODELO NBG 125-100-315/334 AASJ2AESBQQESX4 - BAGS-01 E BAGS-02. VAZÃO DE ÁGUA = 205 M3/H. ALTURA MANOMÉTRICA = 37,25 MCA. RENDIMENTO = 85%. ROTAÇÃO = 1750 RPM. DIÂMETROS SUCÇÃO/RECALQUE = 5"/4". POTÊNCIA MOTOR ELÉTRICO = 50 CV(220V/3F/60HZ). ACESSÓRIOS: BASE METÁLICA, ACOPLAMENTO E PROTETOR DE ACOPLAMENTO. PESO DA UNIDADE = 505 KG. REF.: GRUNDFOS OU EQUIVALENTE</t>
  </si>
  <si>
    <t>INSTALAÇÃO DE BOMBA CENTRÍFUGA, SUCÇÃO HORIZONTAL, DECARGA VERTICAL PARA CIMA, COM MOTOR ELÉTRICO, MODELO NBG 125-100-315/334 AASJ2AESBQQESX4 - BAGS-01 E BAGS-02. VAZÃO DE ÁGUA = 205 M3/H. ALTURA MANOMÉTRICA = 37,25 MCA. RENDIMENTO = 85%. ROTAÇÃO = 1750 RPM. DIÂMETROS SUCÇÃO/RECALQUE = 5"/4". POTÊNCIA MOTOR ELÉTRICO = 50 CV(220V/3F/60HZ). ACESSÓRIOS: BASE METÁLICA, ACOPLAMENTO E PROTETOR DE ACOPLAMENTO. PESO DA UNIDADE = 505 KG. REF.: GRUNDFOS OU EQUIVALENTE</t>
  </si>
  <si>
    <t>FORNECIMENTO DE BOMBA CENTRÍFUGA, SUCÇÃO HORIZONTAL, DECARGA VERTICAL PARA CIMA, COM MOTOR ELÉTRICO. MODELO NBG 125-80-200/222 AASJ2AESBQQENX4 - BAGP-01, BAGP-02 E BAGP-03. VAZÃO DE ÁGUA = 102,5 M3/H. ALTURA MANOMÉTRICA = 16,8 MCA. RENDIMENTO = 77,7%. ROTAÇÃO = 1750 RPM. DIÂMETROS SUCÇÃO/RECALQUE = 5"/3". POTÊNCIA MOTOR ELÉTRICO = 15 CV(220V/3F/60HZ). ACESSÓRIOS: BASE METÁLICA, ACOPLAMENTO E PROTETOR DE ACOPLAMENTO. PESO DA UNIDADE = 256 KG. REF.: GRUNDFOS OU EQUIVALENTE</t>
  </si>
  <si>
    <t>2.4.1.2.4</t>
  </si>
  <si>
    <t>INSTALAÇÃO DE BOMBA CENTRÍFUGA, SUCÇÃO HORIZONTAL, DECARGA VERTICAL PARA CIMA, COM MOTOR ELÉTRICO. MODELO NBG 125-80-200/222 AASJ2AESBQQENX4 - BAGP-01, BAGP-02 E BAGP-03. VAZÃO DE ÁGUA = 102,5 M3/H. ALTURA MANOMÉTRICA = 16,8 MCA. RENDIMENTO = 77,7%. ROTAÇÃO = 1750 RPM. DIÂMETROS SUCÇÃO/RECALQUE = 5"/3". POTÊNCIA MOTOR ELÉTRICO = 15 CV(220V/3F/60HZ). ACESSÓRIOS: BASE METÁLICA, ACOPLAMENTO E PROTETOR DE ACOPLAMENTO. PESO DA UNIDADE = 256 KG. REF.: GRUNDFOS OU EQUIVALENTE</t>
  </si>
  <si>
    <t>2.4.1.2.5</t>
  </si>
  <si>
    <t>FORNECIMENTO DE BOMBA CENTRÍFUGA, SUCÇÃO HORIZONTAL, DECARGA VERTICAL PARA CIMA, COM MOTOR ELÉTRICO. MODELO NBG NBG 80-50-200/183 AAJ2AESBQQEJX4  - BAGP-04 E BAGP-05. VAZÃO DE ÁGUA = 32 M3/H. ALTURA MANOMÉTRICA = 15,9 MCA. RENDIMENTO = 73,8%. ROTAÇÃO = 1750 RPM. DIÂMETROS SUCÇÃO/RECALQUE = 3"/2". POTÊNCIA MOTOR ELÉTRICO = 4 CV(220V/3F/60HZ). ACESSÓRIOS: BASE METÁLICA, ACOPLAMENTO E PROTETOR DE ACOPLAMENTO. PESO DA UNIDADE = 256 KG. REF.: GRUNDFOS OU EQUIVALENTE</t>
  </si>
  <si>
    <t>2.4.1.2.6</t>
  </si>
  <si>
    <t>INSTALAÇÃO DE BOMBA CENTRÍFUGA, SUCÇÃO HORIZONTAL, DECARGA VERTICAL PARA CIMA, COM MOTOR ELÉTRICO. MODELO NBG NBG 80-50-200/183 AAJ2AESBQQEJX4  - BAGP-04 E BAGP-05. VAZÃO DE ÁGUA = 32 M3/H. ALTURA MANOMÉTRICA = 15,9 MCA. RENDIMENTO = 73,8%. ROTAÇÃO = 1750 RPM. DIÂMETROS SUCÇÃO/RECALQUE = 3"/2". POTÊNCIA MOTOR ELÉTRICO = 4 CV(220V/3F/60HZ). ACESSÓRIOS: BASE METÁLICA, ACOPLAMENTO E PROTETOR DE ACOPLAMENTO. PESO DA UNIDADE = 256 KG. REF.: GRUNDFOS OU EQUIVALENTE</t>
  </si>
  <si>
    <t>FORNECIMENTO DE UNIDADE CONDICIONADORA DE AR TIPO "FAN-COIL" MODELO VORTEX 35 TR, GABINETE VERTICAL, DESCARGA VERTICAL PARA CIMA, VENTILADOR SIROCCO -FC-01 3B.
CAPACIDADE NOMINAL = 125,71 KW (35,74TR)/ CAPACIDADE SENSÍVEL = 79 KW
VAZÃO DE AR INSUFLADO = 23245 M3/H
PRESSÃO ESTÁTICA EXTERNA = 30 MMCA
TEMPERATURA DO AR DE ENTRADA SERPENTINA (BS/BU) = 24,8/18,9°C / TEMPERATURA DA ÁGUA GELADA ENT/SAÍDA = 7,0/12,5 °C 
VAZÃO DE ÁGUA GELADA = 20,46 M3/H / PERDA DE CARGA NA SERPENTINA = 1,15 MCA 
NÚMERO DE ROWS = 6 / NÚMERO DE CIRCUITOS = 51 
NÚMERO DE TUBOS = 34 / DIÂMETRO DO TUBO = 1/2"
NÚMERO DE ALETAS POR POLEGADA = 9 /DIÂMETRO DA CONEXÃO = 2" 
LADO HIDRÁULICA = ESQUERDA (VISTO FRENTE AO FILTRO DE AR ) 
POTÊNCIA MOTOR ELÉTRICO = 10 CV (220V/3F/60HZ)
DIMENSÕES DA UNIDADE (A/L/P) = 2352/2656/1009 MM / PESO DA UNIDADE = 460 KG 
OBS.: EQUIPAMENTO DOTADO DE FILTRO DE AR CLASSE M5 
REF.: CARRIER OU EQUIVALENTE</t>
  </si>
  <si>
    <t>INSTALAÇÃO DE UNIDADE CONDICIONADORA DE AR TIPO "FAN-COIL" MODELO VORTEX 35 TR, GABINETE VERTICAL, DESCARGA VERTICAL PARA CIMA, VENTILADOR SIROCCO -FC-01 3B.
CAPACIDADE NOMINAL = 125,71 KW (35,74TR)/ CAPACIDADE SENSÍVEL = 79 KW
VAZÃO DE AR INSUFLADO = 23245 M3/H
PRESSÃO ESTÁTICA EXTERNA = 30 MMCA
TEMPERATURA DO AR DE ENTRADA SERPENTINA (BS/BU) = 24,8/18,9°C / TEMPERATURA DA ÁGUA GELADA ENT/SAÍDA = 7,0/12,5 °C 
VAZÃO DE ÁGUA GELADA = 20,46 M3/H / PERDA DE CARGA NA SERPENTINA = 1,15 MCA 
NÚMERO DE ROWS = 6 / NÚMERO DE CIRCUITOS = 51 
NÚMERO DE TUBOS = 34 / DIÂMETRO DO TUBO = 1/2"
NÚMERO DE ALETAS POR POLEGADA = 9 /DIÂMETRO DA CONEXÃO = 2" 
LADO HIDRÁULICA = ESQUERDA (VISTO FRENTE AO FILTRO DE AR ) 
POTÊNCIA MOTOR ELÉTRICO = 10 CV (220V/3F/60HZ)
DIMENSÕES DA UNIDADE (A/L/P) = 2352/2656/1009 MM / PESO DA UNIDADE = 460 KG 
OBS.: EQUIPAMENTO DOTADO DE FILTRO DE AR CLASSE M5 
REF.: CARRIER OU EQUIVALENTE</t>
  </si>
  <si>
    <t>FORNECIMENTO DE UNIDADE CONDICIONADORA DE AR TIPO "FAN-COIL" MODELO VORTEX 15 TR, GABINETE VERTICAL, DESCARGA VERTICAL PARA CIMA, VENTILADOR SIROCCO -FC-02 3B.
CAPACIDADE NOMINAL = 40,54 KW (11,52) / CAPACIDADE SENSÍVEL = 25,37 KW
VAZÃO DE AR INSUFLADO = 8305 M3/H
 PRESSÃO ESTÁTICA EXTERNA = 30 MMCA
TEMPERATURA DO AR DE ENTRADA SERPENTINA (BS/BU) = 24,7/19,0°C /  TEMPERATURA DA ÁGUA GELADA ENT/SAÍDA = 7,0/12,5 °C
VAZÃO DE ÁGUA GELADA = 6,63 M3/H / PERDA DE CARGA NA SERPENTINA = 2,18 MCA
NÚMERO DE ROWS = 4 / NÚMERO DE CIRCUITOS = 13
NÚMERO DE TUBOS = 26 / DIÂMETRO DO TUBO = 1/2"
NÚMERO DE ALETAS POR POLEGADA = 9 / DIÂMETRO DA CONEXÃO = 11/4"
LADO HIDRÁULICA = DIREITA (VISTO FRENTE AO FILTRO DE AR )
POTÊNCIA MOTOR ELÉTRICO = 3,0 CV (220V/3F/60HZ)
DIMENSÕES DA UNIDADE (A/L/P) = 1609/1849/671 MM / PESO DA UNIDADE = 229 KG
OBS.: EQUIPAMENTO DOTADO DE FILTRO DE AR CLASSE M5
REF.: CARRIER OU EQUIVALENTE</t>
  </si>
  <si>
    <t>INSTALAÇÃO DE UNIDADE CONDICIONADORA DE AR TIPO "FAN-COIL" MODELO VORTEX 15 TR, GABINETE VERTICAL, DESCARGA VERTICAL PARA CIMA, VENTILADOR SIROCCO -FC-02 3B.
CAPACIDADE NOMINAL = 40,54 KW (11,52) / CAPACIDADE SENSÍVEL = 25,37 KW
VAZÃO DE AR INSUFLADO = 8305 M3/H
 PRESSÃO ESTÁTICA EXTERNA = 30 MMCA
TEMPERATURA DO AR DE ENTRADA SERPENTINA (BS/BU) = 24,7/19,0°C /  TEMPERATURA DA ÁGUA GELADA ENT/SAÍDA = 7,0/12,5 °C
VAZÃO DE ÁGUA GELADA = 6,63 M3/H / PERDA DE CARGA NA SERPENTINA = 2,18 MCA
NÚMERO DE ROWS = 4 / NÚMERO DE CIRCUITOS = 13
NÚMERO DE TUBOS = 26 / DIÂMETRO DO TUBO = 1/2"
NÚMERO DE ALETAS POR POLEGADA = 9 / DIÂMETRO DA CONEXÃO = 11/4"
LADO HIDRÁULICA = DIREITA (VISTO FRENTE AO FILTRO DE AR )
POTÊNCIA MOTOR ELÉTRICO = 3,0 CV (220V/3F/60HZ)
DIMENSÕES DA UNIDADE (A/L/P) = 1609/1849/671 MM / PESO DA UNIDADE = 229 KG
OBS.: EQUIPAMENTO DOTADO DE FILTRO DE AR CLASSE M5
REF.: CARRIER OU EQUIVALENTE</t>
  </si>
  <si>
    <t>3.5.1.1.5</t>
  </si>
  <si>
    <t>FORNECIMENTO DE UNIDADE CONDICIONADORA DE AR TIPO "FAN-COIL" MODELO VORTEX 15 TR, GABINETE VERTICAL, DESCARGA VERTICAL PARA CIMA, VENTILADOR SIROCCO -FC-03 3B.                                                                                  CAPACIDADE NOMINAL = 44,19 KW (12,56)
CAPACIDADE SENSÍVEL = 28,29 KW 
VAZÃO DE AR INSUFLADO = 9470 M3/H
PRESSÃO ESTÁTICA EXTERNA = 30 MMCA
TEMPERATURA DO AR DE ENTRADA SERPENTINA (BS/BU) = 25/19,1°C  / TEMPERATURA DA ÁGUA GELADA ENT/SAÍDA = 7,0/12,5 °C  
VAZÃO DE ÁGUA GELADA = 7,28 M3/H
PERDA DE CARGA NA SERPENTINA = 2,56 MCA
NÚMERO DE ROWS = 4  / NÚMERO DE CIRCUITOS = 13
NÚMERO DE TUBOS = 26  / DIÂMETRO DO TUBO = 1/2"  
NÚMERO DE ALETAS POR POLEGADA = 9 / DIÂMETRO DA CONEXÃO = 11/4" 
LADO HIDRÁULICA = DIREITA (VISTO FRENTE AO FILTRO DE AR )
POTÊNCIA MOTOR ELÉTRICO = 4,0 CV (220V/3F/60HZ) 
DIMENSÕES DA UNIDADE (A/L/P) = 1609/1849/671 MM / PESO DA UNIDADE = 229 KG                                                                                                                                                                                                                                         OBS.: EQUIPAMENTO DOTADO DE FILTRO DE AR CLASSE M5
REF.: CARRIER OU EQUIVALENTE</t>
  </si>
  <si>
    <t>3.5.1.1.6</t>
  </si>
  <si>
    <t>INSTALAÇÃO DE UNIDADE CONDICIONADORA DE AR TIPO "FAN-COIL" MODELO VORTEX 15 TR, GABINETE VERTICAL, DESCARGA VERTICAL PARA CIMA, VENTILADOR SIROCCO -FC-03 3B.                                                                                  CAPACIDADE NOMINAL = 44,19 KW (12,56)
CAPACIDADE SENSÍVEL = 28,29 KW 
VAZÃO DE AR INSUFLADO = 9470 M3/H
PRESSÃO ESTÁTICA EXTERNA = 30 MMCA
TEMPERATURA DO AR DE ENTRADA SERPENTINA (BS/BU) = 25/19,1°C  / TEMPERATURA DA ÁGUA GELADA ENT/SAÍDA = 7,0/12,5 °C  
VAZÃO DE ÁGUA GELADA = 7,28 M3/H
PERDA DE CARGA NA SERPENTINA = 2,56 MCA
NÚMERO DE ROWS = 4  / NÚMERO DE CIRCUITOS = 13
NÚMERO DE TUBOS = 26  / DIÂMETRO DO TUBO = 1/2"  
NÚMERO DE ALETAS POR POLEGADA = 9 / DIÂMETRO DA CONEXÃO = 11/4" 
LADO HIDRÁULICA = DIREITA (VISTO FRENTE AO FILTRO DE AR )
POTÊNCIA MOTOR ELÉTRICO = 4,0 CV (220V/3F/60HZ) 
DIMENSÕES DA UNIDADE (A/L/P) = 1609/1849/671 MM / PESO DA UNIDADE = 229 KG                                                                                                                                                                                                                                         OBS.: EQUIPAMENTO DOTADO DE FILTRO DE AR CLASSE M5
REF.: CARRIER OU EQUIVALENTE</t>
  </si>
  <si>
    <t>3.5.1.1.7</t>
  </si>
  <si>
    <t>FORNECIMENTO DE UNIDADE CONDICIONADORA DE AR TIPO "FAN-COIL" MODELO VORTEX 35 TR, GABINETE VERTICAL, DESCARGA VERTICAL PARA CIMA, VENTILADOR SIROCCO -FC-04 3B.
CAPACIDADE NOMINAL = 128,88 KW (36,6TR) / CAPACIDADE SENSÍVEL = 82,01 KW
VAZÃO DE AR INSUFLADO = 22270 M3/H 
PRESSÃO ESTÁTICA EXTERNA = 30 MMCA  
TEMPERATURA DO AR DE ENTRADA SERPENTINA (BS/BU) = 25/18,7°C  / TEMPERATURA DA ÁGUA GELADA ENT/SAÍDA = 7,0/12,5 °C 
VAZÃO DE ÁGUA GELADA = 20,90 M3/H 
PERDA DE CARGA NA SERPENTINA = 3,70 MCA
NÚMERO DE ROWS = 6 / NÚMERO DE CIRCUITOS = 34 
NÚMERO DE TUBOS = 34 / DIÂMETRO DO TUBO = 1/2" 
NÚMERO DE ALETAS POR POLEGADA = 9 
DIÂMETRO DA CONEXÃO = 2" 
LADO HIDRÁULICA = DIREITA (VISTO FRENTE AO FILTRO DE AR ) 
POTÊNCIA MOTOR ELÉTRICO = 10 CV (220V/3F/60HZ)  
DIMENSÕES DA UNIDADE (A/L/P) = 2352/2656/1009 MM /PESO DA UNIDADE = 460 KG 
OBS.: EQUIPAMENTO DOTADO DE FILTRO DE AR CLASSE M5
REF.: CARRIER OU EQUIVALENTE</t>
  </si>
  <si>
    <t>3.5.1.1.8</t>
  </si>
  <si>
    <t>INSTALAÇÃO DE UNIDADE CONDICIONADORA DE AR TIPO "FAN-COIL" MODELO VORTEX 35 TR, GABINETE VERTICAL, DESCARGA VERTICAL PARA CIMA, VENTILADOR SIROCCO -FC-04 3B.
CAPACIDADE NOMINAL = 128,88 KW (36,6TR) / CAPACIDADE SENSÍVEL = 82,01 KW
VAZÃO DE AR INSUFLADO = 22270 M3/H 
PRESSÃO ESTÁTICA EXTERNA = 30 MMCA  
TEMPERATURA DO AR DE ENTRADA SERPENTINA (BS/BU) = 25/18,7°C  / TEMPERATURA DA ÁGUA GELADA ENT/SAÍDA = 7,0/12,5 °C 
VAZÃO DE ÁGUA GELADA = 20,90 M3/H 
PERDA DE CARGA NA SERPENTINA = 3,70 MCA
NÚMERO DE ROWS = 6 / NÚMERO DE CIRCUITOS = 34 
NÚMERO DE TUBOS = 34 / DIÂMETRO DO TUBO = 1/2" 
NÚMERO DE ALETAS POR POLEGADA = 9 
DIÂMETRO DA CONEXÃO = 2" 
LADO HIDRÁULICA = DIREITA (VISTO FRENTE AO FILTRO DE AR ) 
POTÊNCIA MOTOR ELÉTRICO = 10 CV (220V/3F/60HZ)  
DIMENSÕES DA UNIDADE (A/L/P) = 2352/2656/1009 MM /PESO DA UNIDADE = 460 KG 
OBS.: EQUIPAMENTO DOTADO DE FILTRO DE AR CLASSE M5
REF.: CARRIER OU EQUIVALENTE</t>
  </si>
  <si>
    <t xml:space="preserve">FORNECIMENTO DE ATENUADOR DE RUÍDO COM CARCAÇA E CÉLULAS DE CHAPA GALVANIZADA, COM MATERIAL DE ABSORÇÃO EM LÂ MINERAL REVESTIDO COM TELA DE VIDRO. MODELO KS-200 - ATR-01 
VAZÃO DE AR  = 12985 M3/H
PERDA DE CARGA =74 PA
VELOCIDADE NA CÉLULA  = 12,0 M3/H /LW (DB(A)=49 /  NÚMERO DE CÉLULAS = 5
LARGURA/ALTURA/COMPRIMENTO = 1500/700/1000 MM / PESO = 103 KG
FREQUENCIA/ATENUAÇÃO  -    63HZ/3   125/10   250/19  500/19  1000/25  2000/18  4000/13  8000/12   
REF.:BERLINER LUFT OU EQUIVALENTE                                                                                                                                                                                                                                                    </t>
  </si>
  <si>
    <t xml:space="preserve">INSTALAÇÃO DE ATENUADOR DE RUÍDO COM CARCAÇA E CÉLULAS DE CHAPA GALVANIZADA, COM MATERIAL DE ABSORÇÃO EM LÂ MINERAL REVESTIDO COM TELA DE VIDRO. MODELO KS-200 - ATR-01 
VAZÃO DE AR  = 12985 M3/H
PERDA DE CARGA =74 PA
VELOCIDADE NA CÉLULA  = 12,0 M3/H /LW (DB(A)=49 /  NÚMERO DE CÉLULAS = 5
LARGURA/ALTURA/COMPRIMENTO = 1500/700/1000 MM / PESO = 103 KG
FREQUENCIA/ATENUAÇÃO  -    63HZ/3   125/10   250/19  500/19  1000/25  2000/18  4000/13  8000/12   
REF.:BERLINER LUFT OU EQUIVALENTE                                                                                                                                                                                                                                                    </t>
  </si>
  <si>
    <t xml:space="preserve">FORNECIMENTO DE ATENUADOR DE RUÍDO COM CARCAÇA E CÉLULAS DE CHAPA GALVANIZADA, COM MATERIAL DE ABSORÇÃO EM LÂ MINERAL REVESTIDO COM TELA DE VIDRO. MODELO KS-200 - ATR-02
VAZÃO DE AR  = 10453 M3/H
PERDA DE CARGA =39 PA
VELOCIDADE NA CÉLULA  = 9,2 M3/H / LW (DB(A)=42 / NÚMERO DE CÉLULAS = 3
LARGURA/ALTURA/COMPRIMENTO = 1000/800/1400 MM / PESO = 101 KG
FREQUENCIA/ATENUAÇÃO  -    63HZ/4   125/11   250/22  500/21  1000/27  2000/19  4000/13  8000/12   
REF.:BERLINER LUFT OU EQUIVALENTE                                                                                                                                                                                                                                                    </t>
  </si>
  <si>
    <t xml:space="preserve">INSTALAÇÃO DE ATENUADOR DE RUÍDO COM CARCAÇA E CÉLULAS DE CHAPA GALVANIZADA, COM MATERIAL DE ABSORÇÃO EM LÂ MINERAL REVESTIDO COM TELA DE VIDRO. MODELO KS-200 - ATR-02
VAZÃO DE AR  = 10453 M3/H
PERDA DE CARGA =39 PA
VELOCIDADE NA CÉLULA  = 9,2 M3/H / LW (DB(A)=42 / NÚMERO DE CÉLULAS = 3
LARGURA/ALTURA/COMPRIMENTO = 1000/800/1400 MM / PESO = 101 KG
FREQUENCIA/ATENUAÇÃO  -    63HZ/4   125/11   250/22  500/21  1000/27  2000/19  4000/13  8000/12   
REF.:BERLINER LUFT OU EQUIVALENTE                                                                                                                                                                                                                                                    </t>
  </si>
  <si>
    <t xml:space="preserve">FORNECIMENTO DE ATENUADOR DE RUÍDO COM CARCAÇA E CÉLULAS DE CHAPA GALVANIZADA, COM MATERIAL DE ABSORÇÃO EM LÂ MINERAL REVESTIDO COM TELA DE VIDRO. MODELO KS-200 - ATR-03
VAZÃO DE AR  = 8130 M3/H
PERDA DE CARGA =45 PA
VELOCIDADE NA CÉLULA  = 9,4 M3/H  / LW (DB(A)=41 / NÚMERO DE CÉLULAS = 3
LARGURA/ALTURA/COMPRIMENTO = 1000/600/1800 MM / PESO = 111 KG
FREQUENCIA/ATENUAÇÃO  -    63HZ/5   125/14   250/28  500/27  1000/33  2000/23  4000/15  8000/14   
REF.:BERLINER LUFT OU EQUIVALENTE                                                                                                                                                                                                                                                    </t>
  </si>
  <si>
    <t xml:space="preserve">INSTALAÇÃO DE ATENUADOR DE RUÍDO COM CARCAÇA E CÉLULAS DE CHAPA GALVANIZADA, COM MATERIAL DE ABSORÇÃO EM LÂ MINERAL REVESTIDO COM TELA DE VIDRO. MODELO KS-200 - ATR-03
VAZÃO DE AR  = 8130 M3/H
PERDA DE CARGA =45 PA
VELOCIDADE NA CÉLULA  = 9,4 M3/H  / LW (DB(A)=41 / NÚMERO DE CÉLULAS = 3
LARGURA/ALTURA/COMPRIMENTO = 1000/600/1800 MM / PESO = 111 KG
FREQUENCIA/ATENUAÇÃO  -    63HZ/5   125/14   250/28  500/27  1000/33  2000/23  4000/15  8000/14   
REF.:BERLINER LUFT OU EQUIVALENTE                                                                                                                                                                                                                                                    </t>
  </si>
  <si>
    <t xml:space="preserve">FORNECIMENTO DE ATENUADOR DE RUÍDO COM CARCAÇA E CÉLULAS DE CHAPA GALVANIZADA, COM MATERIAL DE ABSORÇÃO EM LÂ MINERAL REVESTIDO COM TELA DE VIDRO. MODELO KS-200 - ATR-04 
VAZÃO DE AR  = 10560 M3/H
PERDA DE CARGA =43 PA
VELOCIDADE NA CÉLULA  = 9,8 M3/H / LW (DB(A)=43 /NÚMERO DE CÉLULAS = 3 
LARGURA/ALTURA/COMPRIMENTO = 1100/600/1000 MM /PESO = 65 KG  
FREQUENCIA/ATENUAÇÃO  -    63HZ/2   125/7   250/13  500/13  1000/16  2000/12  4000/10  8000/9   
REF.:BERLINER LUFT OU EQUIVALENTE                                                                                                                                                                                                                                                    </t>
  </si>
  <si>
    <t xml:space="preserve">INSTALAÇÃO DE ATENUADOR DE RUÍDO COM CARCAÇA E CÉLULAS DE CHAPA GALVANIZADA, COM MATERIAL DE ABSORÇÃO EM LÂ MINERAL REVESTIDO COM TELA DE VIDRO. MODELO KS-200 - ATR-04 
VAZÃO DE AR  = 10560 M3/H
PERDA DE CARGA =43 PA
VELOCIDADE NA CÉLULA  = 9,8 M3/H / LW (DB(A)=43 /NÚMERO DE CÉLULAS = 3 
LARGURA/ALTURA/COMPRIMENTO = 1100/600/1000 MM /PESO = 65 KG  
FREQUENCIA/ATENUAÇÃO  -    63HZ/2   125/7   250/13  500/13  1000/16  2000/12  4000/10  8000/9   
REF.:BERLINER LUFT OU EQUIVALENTE                                                                                                                                                                                                                                                    </t>
  </si>
  <si>
    <t xml:space="preserve">FORNECIMENTO DE ATENUADOR DE RUÍDO COM CARCAÇA E CÉLULAS DE CHAPA GALVANIZADA, COM MATERIAL DE ABSORÇÃO EM LÂ MINERAL REVESTIDO COM TELA DE VIDRO. MODELO KS-200 - ATR-05 
VAZÃO DE AR  = 9470 M3/H
PERDA DE CARGA =50 PA 
VELOCIDADE NA CÉLULA  = 10,5 M3/H / LW (DB(A)=44  / NÚMERO DE CÉLULAS = 5
LARGURA/ALTURA/COMPRIMENTO = 1300/500/1000 MM / PESO = 72 KG  
FREQUENCIA/ATENUAÇÃO  -    63HZ/9   125/9   250/17  500/17  1000/21  2000/16  4000/12  8000/11   
REF.:BERLINER LUFT OU EQUIVALENTE                                                                                                                                                                                                                                                    </t>
  </si>
  <si>
    <t xml:space="preserve">INSTALAÇÃO DE ATENUADOR DE RUÍDO COM CARCAÇA E CÉLULAS DE CHAPA GALVANIZADA, COM MATERIAL DE ABSORÇÃO EM LÂ MINERAL REVESTIDO COM TELA DE VIDRO. MODELO KS-200 - ATR-05 
VAZÃO DE AR  = 9470 M3/H
PERDA DE CARGA =50 PA 
VELOCIDADE NA CÉLULA  = 10,5 M3/H / LW (DB(A)=44  / NÚMERO DE CÉLULAS = 5
LARGURA/ALTURA/COMPRIMENTO = 1300/500/1000 MM / PESO = 72 KG  
FREQUENCIA/ATENUAÇÃO  -    63HZ/9   125/9   250/17  500/17  1000/21  2000/16  4000/12  8000/11   
REF.:BERLINER LUFT OU EQUIVALENTE                                                                                                                                                                                                                                                    </t>
  </si>
  <si>
    <t xml:space="preserve">FORNECIMENTO DE ATENUADOR DE RUÍDO COM CARCAÇA E CÉLULAS DE CHAPA GALVANIZADA, COM MATERIAL DE ABSORÇÃO EM LÂ MINERAL REVESTIDO COM TELA DE VIDRO. MODELO KS-200 - ATR-06
VAZÃO DE AR  = 8305 M3/H
PERDA DE CARGA =40 PA
VELOCIDADE NA CÉLULA  = 9,2 M3/H / LW (DB(A)=41 / NÚMERO DE CÉLULAS =4                                                                                                                                                                                                                                                                           LARGURA/ALTURA/COMPRIMENTO = 1300/500/1200 MM / PESO = 84 KG 
FREQUENCIA/ATENUAÇÃO  -    63HZ/3   125/10   250/20  500/20  1000/25  2000/18  4000/13  8000/12   
REF.:BERLINER LUFT OU EQUIVALENTE                                                                                                                                                                                                                                                    </t>
  </si>
  <si>
    <t xml:space="preserve">INSTALAÇÃO DE ATENUADOR DE RUÍDO COM CARCAÇA E CÉLULAS DE CHAPA GALVANIZADA, COM MATERIAL DE ABSORÇÃO EM LÂ MINERAL REVESTIDO COM TELA DE VIDRO. MODELO KS-200 - ATR-06
VAZÃO DE AR  = 8305 M3/H
PERDA DE CARGA =40 PA
VELOCIDADE NA CÉLULA  = 9,2 M3/H / LW (DB(A)=41 / NÚMERO DE CÉLULAS =4                                                                                                                                                                                                                                                                           LARGURA/ALTURA/COMPRIMENTO = 1300/500/1200 MM / PESO = 84 KG 
FREQUENCIA/ATENUAÇÃO  -    63HZ/3   125/10   250/20  500/20  1000/25  2000/18  4000/13  8000/12   
REF.:BERLINER LUFT OU EQUIVALENTE                                                                                                                                                                                                                                                    </t>
  </si>
  <si>
    <t xml:space="preserve">FORNECIMENTO DE ATENUADOR DE RUÍDO COM CARCAÇA E CÉLULAS DE CHAPA GALVANIZADA, COM MATERIAL DE ABSORÇÃO EM LÂ MINERAL REVESTIDO COM TELA DE VIDRO. MODELO KS-200 - ATR-07
VAZÃO DE AR  = 6200 M3/H
PERDA DE CARGA =34 PA
VELOCIDADE NA CÉLULA  = 8,6 M3/H  / LW (DB(A)=38 / NÚMERO DE CÉLULAS =3                                                                                                                                                                                                                                                                           LARGURA/ALTURA/COMPRIMENTO = 1000/500/1200 MM / PESO = 66 KG
FREQUENCIA/ATENUAÇÃO  -    63HZ/3   125/10   250/19  500/19  1000/23  2000/17  4000/12  8000/11   
REF.:BERLINER LUFT OU EQUIVALENTE                                                                                                                                                                                                                                                    </t>
  </si>
  <si>
    <t xml:space="preserve">INSTALAÇÃO DE ATENUADOR DE RUÍDO COM CARCAÇA E CÉLULAS DE CHAPA GALVANIZADA, COM MATERIAL DE ABSORÇÃO EM LÂ MINERAL REVESTIDO COM TELA DE VIDRO. MODELO KS-200 - ATR-07
VAZÃO DE AR  = 6200 M3/H
PERDA DE CARGA =34 PA
VELOCIDADE NA CÉLULA  = 8,6 M3/H  / LW (DB(A)=38 / NÚMERO DE CÉLULAS =3                                                                                                                                                                                                                                                                           LARGURA/ALTURA/COMPRIMENTO = 1000/500/1200 MM / PESO = 66 KG
FREQUENCIA/ATENUAÇÃO  -    63HZ/3   125/10   250/19  500/19  1000/23  2000/17  4000/12  8000/11   
REF.:BERLINER LUFT OU EQUIVALENTE                                                                                                                                                                                                                                                    </t>
  </si>
  <si>
    <t>3.5.1.10.16</t>
  </si>
  <si>
    <t xml:space="preserve">FORNECIMENTO DE ATENUADOR DE RUÍDO COM CARCAÇA E CÉLULAS DE CHAPA GALVANIZADA, COM MATERIAL DE ABSORÇÃO EM LÂ MINERAL REVESTIDO COM TELA DE VIDRO. MODELO KS-200 - ATR-08
VAZÃO DE AR  = 6766 M3/H
PERDA DE CARGA =39 PA
VELOCIDADE NA CÉLULA  = 9,4 M3/H /  LW (DB(A)=40 / NÚMERO DE CÉLULAS =3 
LARGURA/ALTURA/COMPRIMENTO = 1000/500/1000 MM / PESO = 57 KG
FREQUENCIA/ATENUAÇÃO  -    63HZ/3   125/8   250/16  500/16  1000/20  2000/15  4000/11  8000/10  
REF.:BERLINER LUFT OU EQUIVALENTE                                                                                                                                                                                                                                                    </t>
  </si>
  <si>
    <t>3.5.1.10.17</t>
  </si>
  <si>
    <t xml:space="preserve">INSTALAÇÃO DE ATENUADOR DE RUÍDO COM CARCAÇA E CÉLULAS DE CHAPA GALVANIZADA, COM MATERIAL DE ABSORÇÃO EM LÂ MINERAL REVESTIDO COM TELA DE VIDRO. MODELO KS-200 - ATR-08
VAZÃO DE AR  = 6766 M3/H
PERDA DE CARGA =39 PA
VELOCIDADE NA CÉLULA  = 9,4 M3/H /  LW (DB(A)=40 / NÚMERO DE CÉLULAS =3 
LARGURA/ALTURA/COMPRIMENTO = 1000/500/1000 MM / PESO = 57 KG
FREQUENCIA/ATENUAÇÃO  -    63HZ/3   125/8   250/16  500/16  1000/20  2000/15  4000/11  8000/10  
REF.:BERLINER LUFT OU EQUIVALENTE                                                                                                                                                                                                                                                    </t>
  </si>
  <si>
    <t>3.5.1.10.18</t>
  </si>
  <si>
    <t xml:space="preserve">FORNECIMENTO DE ATENUADOR DE RUÍDO COM CARCAÇA E CÉLULAS DE CHAPA GALVANIZADA, COM MATERIAL DE ABSORÇÃO EM LÂ MINERAL REVESTIDO COM TELA DE VIDRO. MODELO KS-200 - ATR-09
VAZÃO DE AR  =1245 M3/H
PERDA DE CARGA =33 PA
VELOCIDADE NA CÉLULA  = 6,9 M3/H / LW (DB(A)=30 / NÚMERO DE CÉLULAS =2
LARGURA/ALTURA/COMPRIMENTO = 500/500/1000 MM / PESO = 33 KG
FREQUENCIA/ATENUAÇÃO  -    63HZ/6   125/14   250/32  500/33  1000/40  2000/39  4000/26  8000/19   
REF.:BERLINER LUFT OU EQUIVALENTE                                                                                                                                                                                                                                                    </t>
  </si>
  <si>
    <t>3.5.1.10.19</t>
  </si>
  <si>
    <t xml:space="preserve">INSTALAÇÃO DE ATENUADOR DE RUÍDO COM CARCAÇA E CÉLULAS DE CHAPA GALVANIZADA, COM MATERIAL DE ABSORÇÃO EM LÂ MINERAL REVESTIDO COM TELA DE VIDRO. MODELO KS-200 - ATR-09
VAZÃO DE AR  =1245 M3/H
PERDA DE CARGA =33 PA
VELOCIDADE NA CÉLULA  = 6,9 M3/H / LW (DB(A)=30 / NÚMERO DE CÉLULAS =2
LARGURA/ALTURA/COMPRIMENTO = 500/500/1000 MM / PESO = 33 KG
FREQUENCIA/ATENUAÇÃO  -    63HZ/6   125/14   250/32  500/33  1000/40  2000/39  4000/26  8000/19   
REF.:BERLINER LUFT OU EQUIVALENTE                                                                                                                                                                                                                                                    </t>
  </si>
  <si>
    <t>3.5.1.10.20</t>
  </si>
  <si>
    <t xml:space="preserve">FORNECIMENTO DE ATENUADOR DE RUÍDO COM CARCAÇA E CÉLULAS DE CHAPA GALVANIZADA, COM MATERIAL DE ABSORÇÃO EM LÂ MINERAL REVESTIDO COM TELA DE VIDRO. MODELO KS-200 - ATR-10
VAZÃO DE AR  =9570 M3/H
PERDA DE CARGA =51 PA
VELOCIDADE NA CÉLULA  = 10,6 M3/H / LW (DB(A)=45 / NÚMERO DE CÉLULAS =4
LARGURA/ALTURA/COMPRIMENTO = 1300/500/1000 MM / PESO = 72 KG
FREQUENCIA/ATENUAÇÃO  -    63HZ/3   125/9   250/17  500/17  1000/21  2000/16  4000/12  8000/11   
REF.:BERLINER LUFT OU EQUIVALENTE                                                                                                                                                                                                                                                    </t>
  </si>
  <si>
    <t>3.5.1.10.21</t>
  </si>
  <si>
    <t xml:space="preserve">INSTALAÇÃO DE ATENUADOR DE RUÍDO COM CARCAÇA E CÉLULAS DE CHAPA GALVANIZADA, COM MATERIAL DE ABSORÇÃO EM LÂ MINERAL REVESTIDO COM TELA DE VIDRO. MODELO KS-200 - ATR-10
VAZÃO DE AR  =9570 M3/H
PERDA DE CARGA =51 PA
VELOCIDADE NA CÉLULA  = 10,6 M3/H / LW (DB(A)=45 / NÚMERO DE CÉLULAS =4
LARGURA/ALTURA/COMPRIMENTO = 1300/500/1000 MM / PESO = 72 KG
FREQUENCIA/ATENUAÇÃO  -    63HZ/3   125/9   250/17  500/17  1000/21  2000/16  4000/12  8000/11   
REF.:BERLINER LUFT OU EQUIVALENTE                                                                                                                                                                                                                                                    </t>
  </si>
  <si>
    <t>3.5.1.10.22</t>
  </si>
  <si>
    <t xml:space="preserve">FORNECIMENTO DE ATENUADOR DE RUÍDO COM CARCAÇA E CÉLULAS DE CHAPA GALVANIZADA, COM MATERIAL DE ABSORÇÃO EM LÂ MINERAL REVESTIDO COM TELA DE VIDRO. MODELO KS-200 - ATR-11
VAZÃO DE AR  =12700 M3/H
PERDA DE CARGA =40 PA
VELOCIDADE NA CÉLULA  = 9,2 M3/H  / LW (DB(A)=41 / NÚMERO DE CÉLULAS =4                                                                                                                                                                                                                                                                           LARGURA/ALTURA/COMPRIMENTO = 1300/500/1200 MM / PESO = 84 KG 
FREQUENCIA/ATENUAÇÃO  -    63HZ/3   125/10   250/20  500/20  1000/25  2000/18  4000/13  8000/12   
REF.:BERLINER LUFT OU EQUIVALENTE                                                                                                                                                                                                                                                    </t>
  </si>
  <si>
    <t>3.5.1.10.23</t>
  </si>
  <si>
    <t xml:space="preserve">INSTALAÇÃO DE ATENUADOR DE RUÍDO COM CARCAÇA E CÉLULAS DE CHAPA GALVANIZADA, COM MATERIAL DE ABSORÇÃO EM LÂ MINERAL REVESTIDO COM TELA DE VIDRO. MODELO KS-200 - ATR-11
VAZÃO DE AR  =12700 M3/H
PERDA DE CARGA =40 PA
VELOCIDADE NA CÉLULA  = 9,2 M3/H  / LW (DB(A)=41 / NÚMERO DE CÉLULAS =4                                                                                                                                                                                                                                                                           LARGURA/ALTURA/COMPRIMENTO = 1300/500/1200 MM / PESO = 84 KG 
FREQUENCIA/ATENUAÇÃO  -    63HZ/3   125/10   250/20  500/20  1000/25  2000/18  4000/13  8000/12   
REF.:BERLINER LUFT OU EQUIVALENTE                                                                                                                                                                                                                                                    </t>
  </si>
  <si>
    <t>3.5.1.10.24</t>
  </si>
  <si>
    <t xml:space="preserve">FORNECIMENTO DE ATENUADOR DE RUÍDO COM CARCAÇA E CÉLULAS DE CHAPA GALVANIZADA, COM MATERIAL DE ABSORÇÃO EM LÂ MINERAL REVESTIDO COM TELA DE VIDRO. MODELO KS-200 - ATR-12
VAZÃO DE AR  =4690 M3/H
PERDA DE CARGA =73 PA
VELOCIDADE NA CÉLULA  = 10,9 M3/H   / LW (DB(A)=44  / NÚMERO DE CÉLULAS =3
LARGURA/ALTURA/COMPRIMENTO = 800/600/1000 MM  /  PESO = 59 KG
FREQUENCIA/ATENUAÇÃO  -    63HZ/5   125/13   250/27  500/28  1000/35  2000/32  4000/21  8000/17   
REF.:BERLINER LUFT OU EQUIVALENTE                                                                                                                                                                                                                                                    </t>
  </si>
  <si>
    <t>3.5.1.10.25</t>
  </si>
  <si>
    <t xml:space="preserve">INSTALAÇÃO DE ATENUADOR DE RUÍDO COM CARCAÇA E CÉLULAS DE CHAPA GALVANIZADA, COM MATERIAL DE ABSORÇÃO EM LÂ MINERAL REVESTIDO COM TELA DE VIDRO. MODELO KS-200 - ATR-12
VAZÃO DE AR  =4690 M3/H
PERDA DE CARGA =73 PA
VELOCIDADE NA CÉLULA  = 10,9 M3/H   / LW (DB(A)=44  / NÚMERO DE CÉLULAS =3
LARGURA/ALTURA/COMPRIMENTO = 800/600/1000 MM  /  PESO = 59 KG
FREQUENCIA/ATENUAÇÃO  -    63HZ/5   125/13   250/27  500/28  1000/35  2000/32  4000/21  8000/17   
REF.:BERLINER LUFT OU EQUIVALENTE                                                                                                                                                                                                                                                    </t>
  </si>
  <si>
    <t>3.5.1.10.26</t>
  </si>
  <si>
    <t xml:space="preserve">FORNECIMENTO DE ATENUADOR DE RUÍDO COM CARCAÇA E CÉLULAS DE CHAPA GALVANIZADA, COM MATERIAL DE ABSORÇÃO EM LÂ MINERAL REVESTIDO COM TELA DE VIDRO. MODELO KS-200 - ATR-13
VAZÃO DE AR  =5660 M3/H
PERDA DE CARGA =27 PA
VELOCIDADE NA CÉLULA  = 9,4 M3/H /  LW (DB(A)=38 / NÚMERO DE CÉLULAS =3
LARGURA/ALTURA/COMPRIMENTO = 1000/500/1000 MM / PESO = 57 KG
FREQUENCIA/ATENUAÇÃO  -    63HZ/3   125/8   250/16  500/16  1000/20  2000/15  4000/11  8000/10    REF.:BERLINER LUFT OU EQUIVALENTE                                                                                                                                                                                                                                                    </t>
  </si>
  <si>
    <t>3.5.1.10.27</t>
  </si>
  <si>
    <t xml:space="preserve">INSTALAÇÃO DE ATENUADOR DE RUÍDO COM CARCAÇA E CÉLULAS DE CHAPA GALVANIZADA, COM MATERIAL DE ABSORÇÃO EM LÂ MINERAL REVESTIDO COM TELA DE VIDRO. MODELO KS-200 - ATR-13
VAZÃO DE AR  =5660 M3/H
PERDA DE CARGA =27 PA
VELOCIDADE NA CÉLULA  = 9,4 M3/H /  LW (DB(A)=38 / NÚMERO DE CÉLULAS =3
LARGURA/ALTURA/COMPRIMENTO = 1000/500/1000 MM / PESO = 57 KG
FREQUENCIA/ATENUAÇÃO  -    63HZ/3   125/8   250/16  500/16  1000/20  2000/15  4000/11  8000/10    REF.:BERLINER LUFT OU EQUIVALENTE                                                                                                                                                                                                                                                    </t>
  </si>
  <si>
    <t>3.5.1.10.28</t>
  </si>
  <si>
    <t xml:space="preserve">FORNECIMENTO DE ATENUADOR DE RUÍDO COM CARCAÇA E CÉLULAS DE CHAPA GALVANIZADA, COM MATERIAL DE ABSORÇÃO EM LÂ MINERAL REVESTIDO COM TELA DE VIDRO. MODELO KS-200 - ATR-14
VAZÃO DE AR  =7275 M3/H
PERDA DE CARGA =45 PA
VELOCIDADE NA CÉLULA  = 10,1 M3/H  / LW (DB(A)=72 / NÚMERO DE CÉLULAS =3
LARGURA/ALTURA/COMPRIMENTO = 1000/500/1000 MM / PESO = 57 KG
FREQUENCIA/ATENUAÇÃO  -    63HZ/3   125/8   250/16  500/16  1000/20  2000/15  4000/11  8000/10   
REF.:BERLINER LUFT OU EQUIVALENTE                                                                                                                                                                                                                                                    </t>
  </si>
  <si>
    <t>3.5.1.10.29</t>
  </si>
  <si>
    <t xml:space="preserve">INSTALAÇÃO DE ATENUADOR DE RUÍDO COM CARCAÇA E CÉLULAS DE CHAPA GALVANIZADA, COM MATERIAL DE ABSORÇÃO EM LÂ MINERAL REVESTIDO COM TELA DE VIDRO. MODELO KS-200 - ATR-14
VAZÃO DE AR  =7275 M3/H
PERDA DE CARGA =45 PA
VELOCIDADE NA CÉLULA  = 10,1 M3/H  / LW (DB(A)=72 / NÚMERO DE CÉLULAS =3
LARGURA/ALTURA/COMPRIMENTO = 1000/500/1000 MM / PESO = 57 KG
FREQUENCIA/ATENUAÇÃO  -    63HZ/3   125/8   250/16  500/16  1000/20  2000/15  4000/11  8000/10   
REF.:BERLINER LUFT OU EQUIVALENTE                                                                                                                                                                                                                                                    </t>
  </si>
  <si>
    <t xml:space="preserve">m² </t>
  </si>
  <si>
    <t xml:space="preserve">* Notas: 
1) Os quantitativos apresentados são aproximados e deverão ser conferidos pelas empresas interessadas antes do envio da proposta financeira. NÃO serão aceitos conferência e ajustes de quantitativos durante a obra.
2) Esta planilha orçamentária foi elaborada a partir da orçamentação realizada pela empresa projetista NC2, acrescentando os itens referentes aos serviços e materiais de: instalações de drywall e divisórias, telefônicas e de sonorização, informática, armazenamento em galpão, sistema de alarme de incêndio, banheiro acessível, cabine de medição e instalação de tapume e container. </t>
  </si>
  <si>
    <t>FORNECIMENTO E INSTALAÇÃO DE UNIDADE RESFRIADORA DE ÁGUA "CHILLER" COM CONDENSAÇÃO A AR,  COMPRESSOR VFD PARAFUSO COM PROTEÇÃO ACÚSTICA, VENTILADORES DO CONDENSADOR COM VARIADOR DE FREQUENCIA, REFRIGERANTE R-134A. MODELO 30XV180H - UR-01 E UR-02. CAPACIDADE FRIGORÍFICA = 633 KW (180TR) EFICÊNCIA 9COPR) = 3,437 KW/KW. TEMPERATURA DE ENTRADA/SAÍDA DA ÁGUA = 12,5°C/7,0°C. VAZÃO DE ÁGUA GELADA =102,5 M3/H. POTENCIA ELÉTRICA = 168,4 KW (220V/3F/60HZ). DIMENSÕES (L/A/C) = 2237/2512/7661 MM; PESO = 6391 KG.  REF.: CARRIER OU EQUIVALENTE</t>
  </si>
  <si>
    <t>FORNECIMENTO E INSTALAÇÃO DE BOMBA CENTRÍFUGA, SUCÇÃO HORIZONTAL, DECARGA VERTICAL PARA CIMA, COM MOTOR ELÉTRICO, MODELO NBG 125-100-315/334 AASJ2AESBQQESX4 - BAGS-01 E BAGS-02. VAZÃO DE ÁGUA = 205 M3/H. ALTURA MANOMÉTRICA = 37,25 MCA. RENDIMENTO = 85%. ROTAÇÃO = 1750 RPM. DIÂMETROS SUCÇÃO/RECALQUE = 5"/4". POTÊNCIA MOTOR ELÉTRICO = 50 CV(220V/3F/60HZ). ACESSÓRIOS: BASE METÁLICA, ACOPLAMENTO E PROTETOR DE ACOPLAMENTO. PESO DA UNIDADE = 505 KG. REF.: GRUNDFOS OU EQUIVALENTE</t>
  </si>
  <si>
    <t>FORNECIMENTO E INSTALAÇÃO DE BOMBA CENTRÍFUGA, SUCÇÃO HORIZONTAL, DECARGA VERTICAL PARA CIMA, COM MOTOR ELÉTRICO. MODELO NBG 125-80-200/222 AASJ2AESBQQENX4 - BAGP-01, BAGP-02 E BAGP-03. VAZÃO DE ÁGUA = 102,5 M3/H. ALTURA MANOMÉTRICA = 16,8 MCA. RENDIMENTO = 77,7%. ROTAÇÃO = 1750 RPM. DIÂMETROS SUCÇÃO/RECALQUE = 5"/3". POTÊNCIA MOTOR ELÉTRICO = 15 CV(220V/3F/60HZ). ACESSÓRIOS: BASE METÁLICA, ACOPLAMENTO E PROTETOR DE ACOPLAMENTO. PESO DA UNIDADE = 256 KG. REF.: GRUNDFOS OU EQUIVALENTE</t>
  </si>
  <si>
    <t>FORNECIMENTO E INSTALAÇÃO DE BOMBA CENTRÍFUGA, SUCÇÃO HORIZONTAL, DECARGA VERTICAL PARA CIMA, COM MOTOR ELÉTRICO. MODELO NBG NBG 80-50-200/183 AAJ2AESBQQEJX4  - BAGP-04 E BAGP-05. VAZÃO DE ÁGUA = 32 M3/H. ALTURA MANOMÉTRICA = 15,9 MCA. RENDIMENTO = 73,8%. ROTAÇÃO = 1750 RPM. DIÂMETROS SUCÇÃO/RECALQUE = 3"/2". POTÊNCIA MOTOR ELÉTRICO = 4 CV(220V/3F/60HZ). ACESSÓRIOS: BASE METÁLICA, ACOPLAMENTO E PROTETOR DE ACOPLAMENTO. PESO DA UNIDADE = 256 KG. REF.: GRUNDFOS OU EQUIVALENTE</t>
  </si>
  <si>
    <t>FORNECIMENTO E INSTALAÇÃO DE UNIDADE CONDICIONADORA DE AR TIPO "FAN-COIL" MODELO VORTEX 35 TR, GABINETE VERTICAL, DESCARGA VERTICAL PARA CIMA, VENTILADOR SIROCCO -FC-01 3B.
CAPACIDADE NOMINAL = 125,71 KW (35,74TR)/ CAPACIDADE SENSÍVEL = 79 KW
VAZÃO DE AR INSUFLADO = 23245 M3/H
PRESSÃO ESTÁTICA EXTERNA = 30 MMCA
TEMPERATURA DO AR DE ENTRADA SERPENTINA (BS/BU) = 24,8/18,9°C / TEMPERATURA DA ÁGUA GELADA ENT/SAÍDA = 7,0/12,5 °C 
VAZÃO DE ÁGUA GELADA = 20,46 M3/H / PERDA DE CARGA NA SERPENTINA = 1,15 MCA 
NÚMERO DE ROWS = 6 / NÚMERO DE CIRCUITOS = 51 
NÚMERO DE TUBOS = 34 / DIÂMETRO DO TUBO = 1/2"
NÚMERO DE ALETAS POR POLEGADA = 9 /DIÂMETRO DA CONEXÃO = 2" 
LADO HIDRÁULICA = ESQUERDA (VISTO FRENTE AO FILTRO DE AR ) 
POTÊNCIA MOTOR ELÉTRICO = 10 CV (220V/3F/60HZ)
DIMENSÕES DA UNIDADE (A/L/P) = 2352/2656/1009 MM / PESO DA UNIDADE = 460 KG 
OBS.: EQUIPAMENTO DOTADO DE FILTRO DE AR CLASSE M5 
REF.: CARRIER OU EQUIVALENTE</t>
  </si>
  <si>
    <t>FORNECIMENTO E INSTALAÇÃO DE UNIDADE CONDICIONADORA DE AR TIPO "FAN-COIL" MODELO VORTEX 15 TR, GABINETE VERTICAL, DESCARGA VERTICAL PARA CIMA, VENTILADOR SIROCCO -FC-02 3B.
CAPACIDADE NOMINAL = 40,54 KW (11,52) / CAPACIDADE SENSÍVEL = 25,37 KW
VAZÃO DE AR INSUFLADO = 8305 M3/H
 PRESSÃO ESTÁTICA EXTERNA = 30 MMCA
TEMPERATURA DO AR DE ENTRADA SERPENTINA (BS/BU) = 24,7/19,0°C /  TEMPERATURA DA ÁGUA GELADA ENT/SAÍDA = 7,0/12,5 °C
VAZÃO DE ÁGUA GELADA = 6,63 M3/H / PERDA DE CARGA NA SERPENTINA = 2,18 MCA
NÚMERO DE ROWS = 4 / NÚMERO DE CIRCUITOS = 13
NÚMERO DE TUBOS = 26 / DIÂMETRO DO TUBO = 1/2"
NÚMERO DE ALETAS POR POLEGADA = 9 / DIÂMETRO DA CONEXÃO = 11/4"
LADO HIDRÁULICA = DIREITA (VISTO FRENTE AO FILTRO DE AR )
POTÊNCIA MOTOR ELÉTRICO = 3,0 CV (220V/3F/60HZ)
DIMENSÕES DA UNIDADE (A/L/P) = 1609/1849/671 MM / PESO DA UNIDADE = 229 KG
OBS.: EQUIPAMENTO DOTADO DE FILTRO DE AR CLASSE M5
REF.: CARRIER OU EQUIVALENTE</t>
  </si>
  <si>
    <t>FORNECIMENTO E INSTALAÇÃO DE UNIDADE CONDICIONADORA DE AR TIPO "FAN-COIL" MODELO VORTEX 15 TR, GABINETE VERTICAL, DESCARGA VERTICAL PARA CIMA, VENTILADOR SIROCCO -FC-03 3B.                                                                                  CAPACIDADE NOMINAL = 44,19 KW (12,56)
CAPACIDADE SENSÍVEL = 28,29 KW 
VAZÃO DE AR INSUFLADO = 9470 M3/H
PRESSÃO ESTÁTICA EXTERNA = 30 MMCA
TEMPERATURA DO AR DE ENTRADA SERPENTINA (BS/BU) = 25/19,1°C  / TEMPERATURA DA ÁGUA GELADA ENT/SAÍDA = 7,0/12,5 °C  
VAZÃO DE ÁGUA GELADA = 7,28 M3/H
PERDA DE CARGA NA SERPENTINA = 2,56 MCA
NÚMERO DE ROWS = 4  / NÚMERO DE CIRCUITOS = 13
NÚMERO DE TUBOS = 26  / DIÂMETRO DO TUBO = 1/2"  
NÚMERO DE ALETAS POR POLEGADA = 9 / DIÂMETRO DA CONEXÃO = 11/4" 
LADO HIDRÁULICA = DIREITA (VISTO FRENTE AO FILTRO DE AR )
POTÊNCIA MOTOR ELÉTRICO = 4,0 CV (220V/3F/60HZ) 
DIMENSÕES DA UNIDADE (A/L/P) = 1609/1849/671 MM / PESO DA UNIDADE = 229 KG                                                                                                                                                                                                                                         OBS.: EQUIPAMENTO DOTADO DE FILTRO DE AR CLASSE M5
REF.: CARRIER OU EQUIVALENTE</t>
  </si>
  <si>
    <t>FORNECIMENTO  E INSTALAÇÃODE UNIDADE CONDICIONADORA DE AR TIPO "FAN-COIL" MODELO VORTEX 35 TR, GABINETE VERTICAL, DESCARGA VERTICAL PARA CIMA, VENTILADOR SIROCCO -FC-04 3B.
CAPACIDADE NOMINAL = 128,88 KW (36,6TR) / CAPACIDADE SENSÍVEL = 82,01 KW
VAZÃO DE AR INSUFLADO = 22270 M3/H 
PRESSÃO ESTÁTICA EXTERNA = 30 MMCA  
TEMPERATURA DO AR DE ENTRADA SERPENTINA (BS/BU) = 25/18,7°C  / TEMPERATURA DA ÁGUA GELADA ENT/SAÍDA = 7,0/12,5 °C 
VAZÃO DE ÁGUA GELADA = 20,90 M3/H 
PERDA DE CARGA NA SERPENTINA = 3,70 MCA
NÚMERO DE ROWS = 6 / NÚMERO DE CIRCUITOS = 34 
NÚMERO DE TUBOS = 34 / DIÂMETRO DO TUBO = 1/2" 
NÚMERO DE ALETAS POR POLEGADA = 9 
DIÂMETRO DA CONEXÃO = 2" 
LADO HIDRÁULICA = DIREITA (VISTO FRENTE AO FILTRO DE AR ) 
POTÊNCIA MOTOR ELÉTRICO = 10 CV (220V/3F/60HZ)  
DIMENSÕES DA UNIDADE (A/L/P) = 2352/2656/1009 MM /PESO DA UNIDADE = 460 KG 
OBS.: EQUIPAMENTO DOTADO DE FILTRO DE AR CLASSE M5
REF.: CARRIER OU EQUIVALENTE</t>
  </si>
  <si>
    <t>FORNECIMENTO  E INSTALAÇÃO DE UNIDADE CONDICIONADORA DE AR TIPO "FAN-COIL" MODELO VORTEX 35 TR, GABINETE VERTICAL, DESCARGA VERTICAL PARA CIMA, VENTILADOR SIROCCO -FC-01 3B.
CAPACIDADE NOMINAL = 125,71 KW (35,74TR)/ CAPACIDADE SENSÍVEL = 79 KW
VAZÃO DE AR INSUFLADO = 23245 M3/H
PRESSÃO ESTÁTICA EXTERNA = 30 MMCA
TEMPERATURA DO AR DE ENTRADA SERPENTINA (BS/BU) = 24,8/18,9°C / TEMPERATURA DA ÁGUA GELADA ENT/SAÍDA = 7,0/12,5 °C 
VAZÃO DE ÁGUA GELADA = 20,46 M3/H / PERDA DE CARGA NA SERPENTINA = 1,15 MCA 
NÚMERO DE ROWS = 6 / NÚMERO DE CIRCUITOS = 51 
NÚMERO DE TUBOS = 34 / DIÂMETRO DO TUBO = 1/2"
NÚMERO DE ALETAS POR POLEGADA = 9 /DIÂMETRO DA CONEXÃO = 2" 
LADO HIDRÁULICA = ESQUERDA (VISTO FRENTE AO FILTRO DE AR ) 
POTÊNCIA MOTOR ELÉTRICO = 10 CV (220V/3F/60HZ)
DIMENSÕES DA UNIDADE (A/L/P) = 2352/2656/1009 MM / PESO DA UNIDADE = 460 KG 
OBS.: EQUIPAMENTO DOTADO DE FILTRO DE AR CLASSE M5 
REF.: CARRIER OU EQUIVALENTE</t>
  </si>
  <si>
    <t xml:space="preserve">FORNECIMENTO E INSTALAÇÃO DE ATENUADOR DE RUÍDO COM CARCAÇA E CÉLULAS DE CHAPA GALVANIZADA, COM MATERIAL DE ABSORÇÃO EM LÂ MINERAL REVESTIDO COM TELA DE VIDRO. MODELO KS-200 - ATR-01 
VAZÃO DE AR  = 12985 M3/H
PERDA DE CARGA =74 PA
VELOCIDADE NA CÉLULA  = 12,0 M3/H /LW (DB(A)=49 /  NÚMERO DE CÉLULAS = 5
LARGURA/ALTURA/COMPRIMENTO = 1500/700/1000 MM / PESO = 103 KG
FREQUENCIA/ATENUAÇÃO  -    63HZ/3   125/10   250/19  500/19  1000/25  2000/18  4000/13  8000/12   
REF.:BERLINER LUFT OU EQUIVALENTE                                                                                                                                                                                                                                                    </t>
  </si>
  <si>
    <t xml:space="preserve">FORNECIMENTO  E INSTALAÇÃO DE ATENUADOR DE RUÍDO COM CARCAÇA E CÉLULAS DE CHAPA GALVANIZADA, COM MATERIAL DE ABSORÇÃO EM LÂ MINERAL REVESTIDO COM TELA DE VIDRO. MODELO KS-200 - ATR-02
VAZÃO DE AR  = 10453 M3/H
PERDA DE CARGA =39 PA
VELOCIDADE NA CÉLULA  = 9,2 M3/H / LW (DB(A)=42 / NÚMERO DE CÉLULAS = 3
LARGURA/ALTURA/COMPRIMENTO = 1000/800/1400 MM / PESO = 101 KG
FREQUENCIA/ATENUAÇÃO  -    63HZ/4   125/11   250/22  500/21  1000/27  2000/19  4000/13  8000/12   
REF.:BERLINER LUFT OU EQUIVALENTE                                                                                                                                                                                                                                                    </t>
  </si>
  <si>
    <t xml:space="preserve">FORNECIMENTO  E INSTALAÇÃO DE ATENUADOR DE RUÍDO COM CARCAÇA E CÉLULAS DE CHAPA GALVANIZADA, COM MATERIAL DE ABSORÇÃO EM LÂ MINERAL REVESTIDO COM TELA DE VIDRO. MODELO KS-200 - ATR-03
VAZÃO DE AR  = 8130 M3/H
PERDA DE CARGA =45 PA
VELOCIDADE NA CÉLULA  = 9,4 M3/H  / LW (DB(A)=41 / NÚMERO DE CÉLULAS = 3
LARGURA/ALTURA/COMPRIMENTO = 1000/600/1800 MM / PESO = 111 KG
FREQUENCIA/ATENUAÇÃO  -    63HZ/5   125/14   250/28  500/27  1000/33  2000/23  4000/15  8000/14   
REF.:BERLINER LUFT OU EQUIVALENTE                                                                                                                                                                                                                                                    </t>
  </si>
  <si>
    <t xml:space="preserve">FORNECIMENTO E INSTALAÇÃO  DE ATENUADOR DE RUÍDO COM CARCAÇA E CÉLULAS DE CHAPA GALVANIZADA, COM MATERIAL DE ABSORÇÃO EM LÂ MINERAL REVESTIDO COM TELA DE VIDRO. MODELO KS-200 - ATR-04 
VAZÃO DE AR  = 10560 M3/H
PERDA DE CARGA =43 PA
VELOCIDADE NA CÉLULA  = 9,8 M3/H / LW (DB(A)=43 /NÚMERO DE CÉLULAS = 3 
LARGURA/ALTURA/COMPRIMENTO = 1100/600/1000 MM /PESO = 65 KG  
FREQUENCIA/ATENUAÇÃO  -    63HZ/2   125/7   250/13  500/13  1000/16  2000/12  4000/10  8000/9   
REF.:BERLINER LUFT OU EQUIVALENTE                                                                                                                                                                                                                                                    </t>
  </si>
  <si>
    <t xml:space="preserve">FORNECIMENTO E INSTALAÇÃO DE ATENUADOR DE RUÍDO COM CARCAÇA E CÉLULAS DE CHAPA GALVANIZADA, COM MATERIAL DE ABSORÇÃO EM LÂ MINERAL REVESTIDO COM TELA DE VIDRO. MODELO KS-200 - ATR-05 
VAZÃO DE AR  = 9470 M3/H
PERDA DE CARGA =50 PA 
VELOCIDADE NA CÉLULA  = 10,5 M3/H / LW (DB(A)=44  / NÚMERO DE CÉLULAS = 5
LARGURA/ALTURA/COMPRIMENTO = 1300/500/1000 MM / PESO = 72 KG  
FREQUENCIA/ATENUAÇÃO  -    63HZ/9   125/9   250/17  500/17  1000/21  2000/16  4000/12  8000/11   
REF.:BERLINER LUFT OU EQUIVALENTE                                                                                                                                                                                                                                                    </t>
  </si>
  <si>
    <t xml:space="preserve">FORNECIMENTO E INSTALAÇÃO DE ATENUADOR DE RUÍDO COM CARCAÇA E CÉLULAS DE CHAPA GALVANIZADA, COM MATERIAL DE ABSORÇÃO EM LÂ MINERAL REVESTIDO COM TELA DE VIDRO. MODELO KS-200 - ATR-06
VAZÃO DE AR  = 8305 M3/H
PERDA DE CARGA =40 PA
VELOCIDADE NA CÉLULA  = 9,2 M3/H / LW (DB(A)=41 / NÚMERO DE CÉLULAS =4                                                                                                                                                                                                                                                                           LARGURA/ALTURA/COMPRIMENTO = 1300/500/1200 MM / PESO = 84 KG 
FREQUENCIA/ATENUAÇÃO  -    63HZ/3   125/10   250/20  500/20  1000/25  2000/18  4000/13  8000/12   
REF.:BERLINER LUFT OU EQUIVALENTE                                                                                                                                                                                                                                                    </t>
  </si>
  <si>
    <t xml:space="preserve">FORNECIMENTO E INSTALAÇÃO DE ATENUADOR DE RUÍDO COM CARCAÇA E CÉLULAS DE CHAPA GALVANIZADA, COM MATERIAL DE ABSORÇÃO EM LÂ MINERAL REVESTIDO COM TELA DE VIDRO. MODELO KS-200 - ATR-07
VAZÃO DE AR  = 6200 M3/H
PERDA DE CARGA =34 PA
VELOCIDADE NA CÉLULA  = 8,6 M3/H  / LW (DB(A)=38 / NÚMERO DE CÉLULAS =3                                                                                                                                                                                                                                                                           LARGURA/ALTURA/COMPRIMENTO = 1000/500/1200 MM / PESO = 66 KG
FREQUENCIA/ATENUAÇÃO  -    63HZ/3   125/10   250/19  500/19  1000/23  2000/17  4000/12  8000/11   
REF.:BERLINER LUFT OU EQUIVALENTE                                                                                                                                                                                                                                                    </t>
  </si>
  <si>
    <t xml:space="preserve">FORNECIMENTO E INSTALAÇÃO DE ATENUADOR DE RUÍDO COM CARCAÇA E CÉLULAS DE CHAPA GALVANIZADA, COM MATERIAL DE ABSORÇÃO EM LÂ MINERAL REVESTIDO COM TELA DE VIDRO. MODELO KS-200 - ATR-08
VAZÃO DE AR  = 6766 M3/H
PERDA DE CARGA =39 PA
VELOCIDADE NA CÉLULA  = 9,4 M3/H /  LW (DB(A)=40 / NÚMERO DE CÉLULAS =3 
LARGURA/ALTURA/COMPRIMENTO = 1000/500/1000 MM / PESO = 57 KG
FREQUENCIA/ATENUAÇÃO  -    63HZ/3   125/8   250/16  500/16  1000/20  2000/15  4000/11  8000/10  
REF.:BERLINER LUFT OU EQUIVALENTE                                                                                                                                                                                                                                                    </t>
  </si>
  <si>
    <t xml:space="preserve">FORNECIMENTO  E INSTALAÇÃO DE ATENUADOR DE RUÍDO COM CARCAÇA E CÉLULAS DE CHAPA GALVANIZADA, COM MATERIAL DE ABSORÇÃO EM LÂ MINERAL REVESTIDO COM TELA DE VIDRO. MODELO KS-200 - ATR-09
VAZÃO DE AR  =1245 M3/H
PERDA DE CARGA =33 PA
VELOCIDADE NA CÉLULA  = 6,9 M3/H / LW (DB(A)=30 / NÚMERO DE CÉLULAS =2
LARGURA/ALTURA/COMPRIMENTO = 500/500/1000 MM / PESO = 33 KG
FREQUENCIA/ATENUAÇÃO  -    63HZ/6   125/14   250/32  500/33  1000/40  2000/39  4000/26  8000/19   
REF.:BERLINER LUFT OU EQUIVALENTE                                                                                                                                                                                                                                                    </t>
  </si>
  <si>
    <t xml:space="preserve">FORNECIMENTO  E INSTALAÇÃO DE ATENUADOR DE RUÍDO COM CARCAÇA E CÉLULAS DE CHAPA GALVANIZADA, COM MATERIAL DE ABSORÇÃO EM LÂ MINERAL REVESTIDO COM TELA DE VIDRO. MODELO KS-200 - ATR-10
VAZÃO DE AR  =9570 M3/H
PERDA DE CARGA =51 PA
VELOCIDADE NA CÉLULA  = 10,6 M3/H / LW (DB(A)=45 / NÚMERO DE CÉLULAS =4
LARGURA/ALTURA/COMPRIMENTO = 1300/500/1000 MM / PESO = 72 KG
FREQUENCIA/ATENUAÇÃO  -    63HZ/3   125/9   250/17  500/17  1000/21  2000/16  4000/12  8000/11   
REF.:BERLINER LUFT OU EQUIVALENTE                                                                                                                                                                                                                                                    </t>
  </si>
  <si>
    <t xml:space="preserve">FORNECIMENTO  E INSTALAÇÃO DE ATENUADOR DE RUÍDO COM CARCAÇA E CÉLULAS DE CHAPA GALVANIZADA, COM MATERIAL DE ABSORÇÃO EM LÂ MINERAL REVESTIDO COM TELA DE VIDRO. MODELO KS-200 - ATR-11
VAZÃO DE AR  =12700 M3/H
PERDA DE CARGA =40 PA
VELOCIDADE NA CÉLULA  = 9,2 M3/H  / LW (DB(A)=41 / NÚMERO DE CÉLULAS =4                                                                                                                                                                                                                                                                           LARGURA/ALTURA/COMPRIMENTO = 1300/500/1200 MM / PESO = 84 KG 
FREQUENCIA/ATENUAÇÃO  -    63HZ/3   125/10   250/20  500/20  1000/25  2000/18  4000/13  8000/12   
REF.:BERLINER LUFT OU EQUIVALENTE                                                                                                                                                                                                                                                    </t>
  </si>
  <si>
    <t xml:space="preserve">FORNECIMENTO E INSTALAÇÃO DE ATENUADOR DE RUÍDO COM CARCAÇA E CÉLULAS DE CHAPA GALVANIZADA, COM MATERIAL DE ABSORÇÃO EM LÂ MINERAL REVESTIDO COM TELA DE VIDRO. MODELO KS-200 - ATR-12
VAZÃO DE AR  =4690 M3/H
PERDA DE CARGA =73 PA
VELOCIDADE NA CÉLULA  = 10,9 M3/H   / LW (DB(A)=44  / NÚMERO DE CÉLULAS =3
LARGURA/ALTURA/COMPRIMENTO = 800/600/1000 MM  /  PESO = 59 KG
FREQUENCIA/ATENUAÇÃO  -    63HZ/5   125/13   250/27  500/28  1000/35  2000/32  4000/21  8000/17   
REF.:BERLINER LUFT OU EQUIVALENTE                                                                                                                                                                                                                                                    </t>
  </si>
  <si>
    <t xml:space="preserve">FORNECIMENTO E INSTALAÇÃO DE ATENUADOR DE RUÍDO COM CARCAÇA E CÉLULAS DE CHAPA GALVANIZADA, COM MATERIAL DE ABSORÇÃO EM LÂ MINERAL REVESTIDO COM TELA DE VIDRO. MODELO KS-200 - ATR-13
VAZÃO DE AR  =5660 M3/H
PERDA DE CARGA =27 PA
VELOCIDADE NA CÉLULA  = 9,4 M3/H /  LW (DB(A)=38 / NÚMERO DE CÉLULAS =3
LARGURA/ALTURA/COMPRIMENTO = 1000/500/1000 MM / PESO = 57 KG
FREQUENCIA/ATENUAÇÃO  -    63HZ/3   125/8   250/16  500/16  1000/20  2000/15  4000/11  8000/10    REF.:BERLINER LUFT OU EQUIVALENTE                                                                                                                                                                                                                                                    </t>
  </si>
  <si>
    <t xml:space="preserve">FORNECIMENTO E INSTALAÇÃO DE ATENUADOR DE RUÍDO COM CARCAÇA E CÉLULAS DE CHAPA GALVANIZADA, COM MATERIAL DE ABSORÇÃO EM LÂ MINERAL REVESTIDO COM TELA DE VIDRO. MODELO KS-200 - ATR-14
VAZÃO DE AR  =7275 M3/H
PERDA DE CARGA =45 PA
VELOCIDADE NA CÉLULA  = 10,1 M3/H  / LW (DB(A)=72 / NÚMERO DE CÉLULAS =3
LARGURA/ALTURA/COMPRIMENTO = 1000/500/1000 MM / PESO = 57 KG
FREQUENCIA/ATENUAÇÃO  -    63HZ/3   125/8   250/16  500/16  1000/20  2000/15  4000/11  8000/10   
REF.:BERLINER LUFT OU EQUIVALENTE                                                                                                                                                                                                                                                    </t>
  </si>
  <si>
    <t xml:space="preserve">FORNECIMENTO  E INSTALAÇÃO DE ATENUADOR DE RUÍDO COM CARCAÇA E CÉLULAS DE CHAPA GALVANIZADA, COM MATERIAL DE ABSORÇÃO EM LÂ MINERAL REVESTIDO COM TELA DE VIDRO. MODELO KS-200 - ATR-01 
VAZÃO DE AR  = 12985 M3/H
PERDA DE CARGA =74 PA
VELOCIDADE NA CÉLULA  = 12,0 M3/H /LW (DB(A)=49 /  NÚMERO DE CÉLULAS = 5
LARGURA/ALTURA/COMPRIMENTO = 1500/700/1000 MM / PESO = 103 KG
FREQUENCIA/ATENUAÇÃO  -    63HZ/3   125/10   250/19  500/19  1000/25  2000/18  4000/13  8000/12   
REF.:BERLINER LUFT OU EQUIVALENTE                   </t>
  </si>
  <si>
    <t xml:space="preserve">FORNECIMENTO E INSTALAÇÃO DE ATENUADOR DE RUÍDO COM CARCAÇA E CÉLULAS DE CHAPA GALVANIZADA, COM MATERIAL DE ABSORÇÃO EM LÂ MINERAL REVESTIDO COM TELA DE VIDRO. MODELO KS-200 - ATR-02
VAZÃO DE AR  = 10453 M3/H
PERDA DE CARGA =39 PA
VELOCIDADE NA CÉLULA  = 9,2 M3/H / LW (DB(A)=42 / NÚMERO DE CÉLULAS = 3
LARGURA/ALTURA/COMPRIMENTO = 1000/800/1400 MM / PESO = 101 KG
FREQUENCIA/ATENUAÇÃO  -    63HZ/4   125/11   250/22  500/21  1000/27  2000/19  4000/13  8000/12   
REF.:BERLINER LUFT OU EQUIVALENTE    </t>
  </si>
  <si>
    <t xml:space="preserve">FORNECIMENTO E INSTALAÇÃO DE ATENUADOR DE RUÍDO COM CARCAÇA E CÉLULAS DE CHAPA GALVANIZADA, COM MATERIAL DE ABSORÇÃO EM LÂ MINERAL REVESTIDO COM TELA DE VIDRO. MODELO KS-200 - ATR-03
VAZÃO DE AR  = 8130 M3/H
PERDA DE CARGA =45 PA
VELOCIDADE NA CÉLULA  = 9,4 M3/H  / LW (DB(A)=41 / NÚMERO DE CÉLULAS = 3
LARGURA/ALTURA/COMPRIMENTO = 1000/600/1800 MM / PESO = 111 KG
FREQUENCIA/ATENUAÇÃO  -    63HZ/5   125/14   250/28  500/27  1000/33  2000/23  4000/15  8000/14   
REF.:BERLINER LUFT OU EQUIVALENTE     </t>
  </si>
  <si>
    <t xml:space="preserve">FORNECIMENTO E INSTALAÇÃO DE ATENUADOR DE RUÍDO COM CARCAÇA E CÉLULAS DE CHAPA GALVANIZADA, COM MATERIAL DE ABSORÇÃO EM LÂ MINERAL REVESTIDO COM TELA DE VIDRO. MODELO KS-200 - ATR-04 
VAZÃO DE AR  = 10560 M3/H
PERDA DE CARGA =43 PA
VELOCIDADE NA CÉLULA  = 9,8 M3/H / LW (DB(A)=43 /NÚMERO DE CÉLULAS = 3 
LARGURA/ALTURA/COMPRIMENTO = 1100/600/1000 MM /PESO = 65 KG  
FREQUENCIA/ATENUAÇÃO  -    63HZ/2   125/7   250/13  500/13  1000/16  2000/12  4000/10  8000/9   
REF.:BERLINER LUFT OU EQUIVALENTE      </t>
  </si>
  <si>
    <t xml:space="preserve">FORNECIMENTO E INSTALAÇÃO DE ATENUADOR DE RUÍDO COM CARCAÇA E CÉLULAS DE CHAPA GALVANIZADA, COM MATERIAL DE ABSORÇÃO EM LÂ MINERAL REVESTIDO COM TELA DE VIDRO. MODELO KS-200 - ATR-05 
VAZÃO DE AR  = 9470 M3/H
PERDA DE CARGA =50 PA 
VELOCIDADE NA CÉLULA  = 10,5 M3/H / LW (DB(A)=44  / NÚMERO DE CÉLULAS = 5
LARGURA/ALTURA/COMPRIMENTO = 1300/500/1000 MM / PESO = 72 KG  
FREQUENCIA/ATENUAÇÃO  -    63HZ/9   125/9   250/17  500/17  1000/21  2000/16  4000/12  8000/11   
REF.:BERLINER LUFT OU EQUIVALENTE      </t>
  </si>
  <si>
    <t xml:space="preserve">FORNECIMENTO E INSTALAÇÃO DE ATENUADOR DE RUÍDO COM CARCAÇA E CÉLULAS DE CHAPA GALVANIZADA, COM MATERIAL DE ABSORÇÃO EM LÂ MINERAL REVESTIDO COM TELA DE VIDRO. MODELO KS-200 - ATR-06
VAZÃO DE AR  = 8305 M3/H
PERDA DE CARGA =40 PA
VELOCIDADE NA CÉLULA  = 9,2 M3/H / LW (DB(A)=41 / NÚMERO DE CÉLULAS =4                                                                                                                                                                                                                                                                           LARGURA/ALTURA/COMPRIMENTO = 1300/500/1200 MM / PESO = 84 KG 
FREQUENCIA/ATENUAÇÃO  -    63HZ/3   125/10   250/20  500/20  1000/25  2000/18  4000/13  8000/12   
REF.:BERLINER LUFT OU EQUIVALENTE   </t>
  </si>
  <si>
    <t xml:space="preserve">FORNECIMENTO E INSTALAÇÃO DE ATENUADOR DE RUÍDO COM CARCAÇA E CÉLULAS DE CHAPA GALVANIZADA, COM MATERIAL DE ABSORÇÃO EM LÂ MINERAL REVESTIDO COM TELA DE VIDRO. MODELO KS-200 - ATR-07
VAZÃO DE AR  = 6200 M3/H
PERDA DE CARGA =34 PA
VELOCIDADE NA CÉLULA  = 8,6 M3/H  / LW (DB(A)=38 / NÚMERO DE CÉLULAS =3                                                                                                                                                                                                                                                                           LARGURA/ALTURA/COMPRIMENTO = 1000/500/1200 MM / PESO = 66 KG
FREQUENCIA/ATENUAÇÃO  -    63HZ/3   125/10   250/19  500/19  1000/23  2000/17  4000/12  8000/11   
REF.:BERLINER LUFT OU EQUIVALENTE      </t>
  </si>
  <si>
    <t xml:space="preserve">FORNECIMENTO E INSTALAÇÃO DE ATENUADOR DE RUÍDO COM CARCAÇA E CÉLULAS DE CHAPA GALVANIZADA, COM MATERIAL DE ABSORÇÃO EM LÂ MINERAL REVESTIDO COM TELA DE VIDRO. MODELO KS-200 - ATR-08
VAZÃO DE AR  = 6766 M3/H
PERDA DE CARGA =39 PA
VELOCIDADE NA CÉLULA  = 9,4 M3/H /  LW (DB(A)=40 / NÚMERO DE CÉLULAS =3 
LARGURA/ALTURA/COMPRIMENTO = 1000/500/1000 MM / PESO = 57 KG
FREQUENCIA/ATENUAÇÃO  -    63HZ/3   125/8   250/16  500/16  1000/20  2000/15  4000/11  8000/10  
REF.:BERLINER LUFT OU EQUIVALENTE           </t>
  </si>
  <si>
    <t xml:space="preserve">FORNECIMENTO E INSTALAÇÃO DE ATENUADOR DE RUÍDO COM CARCAÇA E CÉLULAS DE CHAPA GALVANIZADA, COM MATERIAL DE ABSORÇÃO EM LÂ MINERAL REVESTIDO COM TELA DE VIDRO. MODELO KS-200 - ATR-09
VAZÃO DE AR  =1245 M3/H
PERDA DE CARGA =33 PA
VELOCIDADE NA CÉLULA  = 6,9 M3/H / LW (DB(A)=30 / NÚMERO DE CÉLULAS =2
LARGURA/ALTURA/COMPRIMENTO = 500/500/1000 MM / PESO = 33 KG
FREQUENCIA/ATENUAÇÃO  -    63HZ/6   125/14   250/32  500/33  1000/40  2000/39  4000/26  8000/19   
REF.:BERLINER LUFT OU EQUIVALENTE    </t>
  </si>
  <si>
    <t xml:space="preserve">FORNECIMENTO E INSTALAÇÃO DE ATENUADOR DE RUÍDO COM CARCAÇA E CÉLULAS DE CHAPA GALVANIZADA, COM MATERIAL DE ABSORÇÃO EM LÂ MINERAL REVESTIDO COM TELA DE VIDRO. MODELO KS-200 - ATR-10
VAZÃO DE AR  =9570 M3/H
PERDA DE CARGA =51 PA
VELOCIDADE NA CÉLULA  = 10,6 M3/H / LW (DB(A)=45 / NÚMERO DE CÉLULAS =4
LARGURA/ALTURA/COMPRIMENTO = 1300/500/1000 MM / PESO = 72 KG
FREQUENCIA/ATENUAÇÃO  -    63HZ/3   125/9   250/17  500/17  1000/21  2000/16  4000/12  8000/11   
REF.:BERLINER LUFT OU EQUIVALENTE    </t>
  </si>
  <si>
    <t xml:space="preserve">FORNECIMENTO E INSTALAÇÃO DE ATENUADOR DE RUÍDO COM CARCAÇA E CÉLULAS DE CHAPA GALVANIZADA, COM MATERIAL DE ABSORÇÃO EM LÂ MINERAL REVESTIDO COM TELA DE VIDRO. MODELO KS-200 - ATR-11
VAZÃO DE AR  =12700 M3/H
PERDA DE CARGA =40 PA
VELOCIDADE NA CÉLULA  = 9,2 M3/H  / LW (DB(A)=41 / NÚMERO DE CÉLULAS =4                                                                                                                                                                                                                                                                           LARGURA/ALTURA/COMPRIMENTO = 1300/500/1200 MM / PESO = 84 KG 
FREQUENCIA/ATENUAÇÃO  -    63HZ/3   125/10   250/20  500/20  1000/25  2000/18  4000/13  8000/12   
REF.:BERLINER LUFT OU EQUIVALENTE                   </t>
  </si>
  <si>
    <t xml:space="preserve">FORNECIMENTO E INSTALAÇÃO DE ATENUADOR DE RUÍDO COM CARCAÇA E CÉLULAS DE CHAPA GALVANIZADA, COM MATERIAL DE ABSORÇÃO EM LÂ MINERAL REVESTIDO COM TELA DE VIDRO. MODELO KS-200 - ATR-12
VAZÃO DE AR  =4690 M3/H
PERDA DE CARGA =73 PA
VELOCIDADE NA CÉLULA  = 10,9 M3/H   / LW (DB(A)=44  / NÚMERO DE CÉLULAS =3
LARGURA/ALTURA/COMPRIMENTO = 800/600/1000 MM  /  PESO = 59 KG
FREQUENCIA/ATENUAÇÃO  -    63HZ/5   125/13   250/27  500/28  1000/35  2000/32  4000/21  8000/17   
REF.:BERLINER LUFT OU EQUIVALENTE           </t>
  </si>
  <si>
    <t xml:space="preserve">FORNECIMENTO E INSTALAÇÃO DE ATENUADOR DE RUÍDO COM CARCAÇA E CÉLULAS DE CHAPA GALVANIZADA, COM MATERIAL DE ABSORÇÃO EM LÂ MINERAL REVESTIDO COM TELA DE VIDRO. MODELO KS-200 - ATR-13
VAZÃO DE AR  =5660 M3/H
PERDA DE CARGA =27 PA
VELOCIDADE NA CÉLULA  = 9,4 M3/H /  LW (DB(A)=38 / NÚMERO DE CÉLULAS =3
LARGURA/ALTURA/COMPRIMENTO = 1000/500/1000 MM / PESO = 57 KG
FREQUENCIA/ATENUAÇÃO  -    63HZ/3   125/8   250/16  500/16  1000/20  2000/15  4000/11  8000/10    REF.:BERLINER LUFT OU EQUIVALENTE           </t>
  </si>
  <si>
    <t xml:space="preserve">FORNECIMENTO E INSTALAÇÃO DE ATENUADOR DE RUÍDO COM CARCAÇA E CÉLULAS DE CHAPA GALVANIZADA, COM MATERIAL DE ABSORÇÃO EM LÂ MINERAL REVESTIDO COM TELA DE VIDRO. MODELO KS-200 - ATR-14
VAZÃO DE AR  =7275 M3/H
PERDA DE CARGA =45 PA
VELOCIDADE NA CÉLULA  = 10,1 M3/H  / LW (DB(A)=72 / NÚMERO DE CÉLULAS =3
LARGURA/ALTURA/COMPRIMENTO = 1000/500/1000 MM / PESO = 57 KG
FREQUENCIA/ATENUAÇÃO  -    63HZ/3   125/8   250/16  500/16  1000/20  2000/15  4000/11  8000/10   
REF.:BERLINER LUFT OU EQUIVALENTE        </t>
  </si>
  <si>
    <t>R12</t>
  </si>
  <si>
    <t>Correção de itens com BDI diferenciado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</si>
</sst>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_([$€]* #,##0.00_);_([$€]* \(#,##0.00\);_([$€]* &quot;-&quot;??_);_(@_)"/>
    <numFmt numFmtId="167" formatCode="0.0000"/>
    <numFmt numFmtId="168" formatCode="_-* #,##0.00\ _D_M_-;\-* #,##0.00\ _D_M_-;_-* &quot;-&quot;??\ _D_M_-;_-@_-"/>
    <numFmt numFmtId="169" formatCode="&quot; R$ &quot;#,##0.00\ ;&quot; R$ (&quot;#,##0.00\);&quot; R$ -&quot;#\ ;@\ "/>
    <numFmt numFmtId="170" formatCode="#,##0.00\ ;&quot; (&quot;#,##0.00\);&quot; -&quot;#\ ;@\ "/>
    <numFmt numFmtId="171" formatCode="_(&quot;R$&quot;* #,##0.00_);_(&quot;R$&quot;* \(#,##0.00\);_(&quot;R$&quot;* &quot;-&quot;??_);_(@_)"/>
    <numFmt numFmtId="172" formatCode="0_ ;\-0\ "/>
    <numFmt numFmtId="173" formatCode="0.000%"/>
    <numFmt numFmtId="174" formatCode="&quot;R$ &quot;#,##0.00"/>
  </numFmts>
  <fonts count="62">
    <font>
      <sz val="11"/>
      <color theme="1"/>
      <name val="Calibri"/>
      <family val="2"/>
    </font>
    <font>
      <sz val="11"/>
      <color theme="1"/>
      <name val="Calibri"/>
      <family val="2"/>
      <scheme val="minor"/>
    </font>
    <font>
      <sz val="11"/>
      <color indexed="8"/>
      <name val="Calibri"/>
      <family val="2"/>
    </font>
    <font>
      <sz val="10"/>
      <name val="Arial"/>
      <family val="2"/>
    </font>
    <font>
      <sz val="11"/>
      <name val="Calibri"/>
      <family val="2"/>
    </font>
    <font>
      <sz val="10"/>
      <name val="Arial"/>
      <family val="2"/>
    </font>
    <font>
      <b/>
      <sz val="10"/>
      <name val="Arial"/>
      <family val="2"/>
    </font>
    <font>
      <sz val="10"/>
      <name val="Arial Narrow"/>
      <family val="2"/>
    </font>
    <font>
      <b/>
      <sz val="11"/>
      <name val="Calibri"/>
      <family val="2"/>
    </font>
    <font>
      <sz val="9"/>
      <name val="Arial"/>
      <family val="2"/>
    </font>
    <font>
      <b/>
      <sz val="12"/>
      <color indexed="8"/>
      <name val="Calibri"/>
      <family val="2"/>
    </font>
    <font>
      <sz val="10"/>
      <color indexed="8"/>
      <name val="Arial2"/>
    </font>
    <font>
      <b/>
      <sz val="11"/>
      <color indexed="8"/>
      <name val="Times New Roman"/>
      <family val="1"/>
    </font>
    <font>
      <sz val="8"/>
      <name val="Arial"/>
      <family val="2"/>
    </font>
    <font>
      <b/>
      <sz val="9"/>
      <name val="Arial"/>
      <family val="2"/>
    </font>
    <font>
      <b/>
      <sz val="11"/>
      <color indexed="8"/>
      <name val="Calibri"/>
      <family val="2"/>
    </font>
    <font>
      <b/>
      <sz val="12"/>
      <name val="Calibri"/>
      <family val="2"/>
    </font>
    <font>
      <sz val="12"/>
      <name val="Calibri"/>
      <family val="2"/>
    </font>
    <font>
      <b/>
      <i/>
      <sz val="12"/>
      <name val="Calibri"/>
      <family val="2"/>
    </font>
    <font>
      <sz val="8"/>
      <name val="Calibri"/>
      <family val="2"/>
    </font>
    <font>
      <sz val="10"/>
      <color indexed="8"/>
      <name val="Arial"/>
      <family val="2"/>
    </font>
    <font>
      <sz val="11"/>
      <color theme="1"/>
      <name val="Calibri"/>
      <family val="2"/>
    </font>
    <font>
      <sz val="11"/>
      <color rgb="FF000000"/>
      <name val="Calibri"/>
      <family val="2"/>
      <scheme val="minor"/>
    </font>
    <font>
      <sz val="11"/>
      <color theme="1"/>
      <name val="Calibri"/>
      <family val="2"/>
      <scheme val="minor"/>
    </font>
    <font>
      <b/>
      <sz val="11"/>
      <color theme="1"/>
      <name val="Calibri"/>
      <family val="2"/>
    </font>
    <font>
      <sz val="12"/>
      <color theme="1"/>
      <name val="Calibri"/>
      <family val="2"/>
    </font>
    <font>
      <b/>
      <sz val="12"/>
      <color theme="1"/>
      <name val="Calibri"/>
      <family val="2"/>
    </font>
    <font>
      <b/>
      <i/>
      <sz val="12"/>
      <color theme="1"/>
      <name val="Calibri"/>
      <family val="2"/>
    </font>
    <font>
      <sz val="11"/>
      <name val="Calibri"/>
      <family val="2"/>
      <scheme val="minor"/>
    </font>
    <font>
      <b/>
      <sz val="11"/>
      <name val="Calibri"/>
      <family val="2"/>
      <scheme val="minor"/>
    </font>
    <font>
      <b/>
      <sz val="12"/>
      <name val="Calibri"/>
      <family val="2"/>
      <scheme val="minor"/>
    </font>
    <font>
      <b/>
      <sz val="11"/>
      <color theme="1"/>
      <name val="Calibri"/>
      <family val="2"/>
      <scheme val="minor"/>
    </font>
    <font>
      <b/>
      <sz val="12"/>
      <color theme="1"/>
      <name val="Calibri"/>
      <family val="2"/>
      <scheme val="minor"/>
    </font>
    <font>
      <b/>
      <sz val="11"/>
      <color indexed="8"/>
      <name val="Calibri"/>
      <family val="2"/>
      <scheme val="minor"/>
    </font>
    <font>
      <sz val="11"/>
      <color indexed="8"/>
      <name val="Calibri"/>
      <family val="2"/>
      <scheme val="minor"/>
    </font>
    <font>
      <sz val="11"/>
      <color theme="1"/>
      <name val="Times New Roman"/>
      <family val="1"/>
    </font>
    <font>
      <sz val="10"/>
      <name val="Calibri"/>
      <family val="2"/>
      <scheme val="minor"/>
    </font>
    <font>
      <sz val="10"/>
      <color theme="1"/>
      <name val="Arial"/>
      <family val="2"/>
    </font>
    <font>
      <b/>
      <sz val="10"/>
      <color theme="1"/>
      <name val="Arial"/>
      <family val="2"/>
    </font>
    <font>
      <b/>
      <sz val="14"/>
      <color theme="1"/>
      <name val="Calibri"/>
      <family val="2"/>
      <scheme val="minor"/>
    </font>
    <font>
      <sz val="12"/>
      <color theme="1"/>
      <name val="Calibri"/>
      <family val="2"/>
      <scheme val="minor"/>
    </font>
    <font>
      <sz val="12"/>
      <name val="Calibri"/>
      <family val="2"/>
      <scheme val="minor"/>
    </font>
    <font>
      <i/>
      <sz val="12"/>
      <color theme="1"/>
      <name val="Calibri"/>
      <family val="2"/>
    </font>
    <font>
      <sz val="9"/>
      <color theme="1"/>
      <name val="Calibri"/>
      <family val="2"/>
    </font>
    <font>
      <b/>
      <sz val="9"/>
      <color rgb="FF002060"/>
      <name val="Arial"/>
      <family val="2"/>
    </font>
    <font>
      <b/>
      <sz val="16"/>
      <name val="Calibri"/>
      <family val="2"/>
      <scheme val="minor"/>
    </font>
    <font>
      <b/>
      <sz val="12"/>
      <color rgb="FFFF0000"/>
      <name val="Calibri"/>
      <family val="2"/>
    </font>
    <font>
      <sz val="11"/>
      <color theme="1"/>
      <name val="Arial"/>
      <family val="2"/>
    </font>
    <font>
      <sz val="16"/>
      <name val="Calibri"/>
      <family val="2"/>
      <scheme val="minor"/>
    </font>
    <font>
      <b/>
      <sz val="10"/>
      <name val="Calibri"/>
      <family val="2"/>
      <scheme val="minor"/>
    </font>
    <font>
      <b/>
      <sz val="16"/>
      <color theme="1"/>
      <name val="Calibri"/>
      <family val="2"/>
    </font>
    <font>
      <b/>
      <sz val="14"/>
      <name val="Calibri"/>
      <family val="2"/>
      <scheme val="minor"/>
    </font>
    <font>
      <sz val="10"/>
      <color rgb="FFFF0000"/>
      <name val="Arial"/>
      <family val="2"/>
    </font>
    <font>
      <b/>
      <sz val="12"/>
      <color rgb="FF000000"/>
      <name val="Arial"/>
      <family val="2"/>
      <charset val="1"/>
    </font>
    <font>
      <sz val="10"/>
      <color rgb="FF000000"/>
      <name val="Arial"/>
      <family val="2"/>
      <charset val="1"/>
    </font>
    <font>
      <sz val="10"/>
      <name val="Arial"/>
      <family val="2"/>
      <charset val="1"/>
    </font>
    <font>
      <sz val="11"/>
      <name val="Calibri"/>
      <family val="2"/>
      <charset val="1"/>
    </font>
    <font>
      <b/>
      <sz val="11"/>
      <color rgb="FF000000"/>
      <name val="Arial"/>
      <family val="2"/>
      <charset val="1"/>
    </font>
    <font>
      <b/>
      <sz val="10"/>
      <color rgb="FF000000"/>
      <name val="Arial"/>
      <family val="2"/>
      <charset val="1"/>
    </font>
    <font>
      <sz val="11"/>
      <color rgb="FF000000"/>
      <name val="Arial"/>
      <family val="2"/>
      <charset val="1"/>
    </font>
    <font>
      <b/>
      <sz val="11"/>
      <color rgb="FF000000"/>
      <name val="Calibri"/>
      <family val="2"/>
      <scheme val="minor"/>
    </font>
    <font>
      <b/>
      <sz val="12"/>
      <name val="Arial"/>
      <family val="2"/>
      <charset val="1"/>
    </font>
  </fonts>
  <fills count="15">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58"/>
      </patternFill>
    </fill>
    <fill>
      <patternFill patternType="solid">
        <fgColor theme="0" tint="-0.14999847407452621"/>
        <bgColor indexed="55"/>
      </patternFill>
    </fill>
    <fill>
      <patternFill patternType="solid">
        <fgColor theme="0" tint="-4.9989318521683403E-2"/>
        <bgColor indexed="64"/>
      </patternFill>
    </fill>
    <fill>
      <patternFill patternType="solid">
        <fgColor theme="0"/>
        <bgColor indexed="55"/>
      </patternFill>
    </fill>
    <fill>
      <patternFill patternType="solid">
        <fgColor theme="0"/>
        <bgColor indexed="64"/>
      </patternFill>
    </fill>
    <fill>
      <patternFill patternType="solid">
        <fgColor theme="2"/>
        <bgColor indexed="64"/>
      </patternFill>
    </fill>
    <fill>
      <patternFill patternType="solid">
        <fgColor rgb="FFC0C0C0"/>
        <bgColor rgb="FFCCCCCC"/>
      </patternFill>
    </fill>
    <fill>
      <patternFill patternType="solid">
        <fgColor rgb="FFE7E6E6"/>
        <bgColor rgb="FFFFFFCC"/>
      </patternFill>
    </fill>
    <fill>
      <patternFill patternType="solid">
        <fgColor theme="0" tint="-0.34998626667073579"/>
        <bgColor indexed="64"/>
      </patternFill>
    </fill>
  </fills>
  <borders count="9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8"/>
      </top>
      <bottom/>
      <diagonal/>
    </border>
    <border>
      <left/>
      <right style="medium">
        <color indexed="64"/>
      </right>
      <top/>
      <bottom style="thin">
        <color indexed="8"/>
      </bottom>
      <diagonal/>
    </border>
    <border>
      <left/>
      <right style="thin">
        <color indexed="8"/>
      </right>
      <top style="thin">
        <color indexed="64"/>
      </top>
      <bottom style="thin">
        <color indexed="8"/>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8"/>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diagonal/>
    </border>
    <border>
      <left/>
      <right style="thin">
        <color theme="0" tint="-0.499984740745262"/>
      </right>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theme="0" tint="-0.499984740745262"/>
      </right>
      <top/>
      <bottom style="thin">
        <color indexed="64"/>
      </bottom>
      <diagonal/>
    </border>
    <border>
      <left style="thin">
        <color indexed="64"/>
      </left>
      <right style="thin">
        <color indexed="64"/>
      </right>
      <top style="hair">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bottom/>
      <diagonal/>
    </border>
    <border>
      <left/>
      <right/>
      <top style="thin">
        <color indexed="64"/>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8"/>
      </top>
      <bottom/>
      <diagonal/>
    </border>
    <border>
      <left/>
      <right style="thin">
        <color indexed="8"/>
      </right>
      <top style="thin">
        <color indexed="64"/>
      </top>
      <bottom style="thin">
        <color indexed="8"/>
      </bottom>
      <diagonal/>
    </border>
    <border>
      <left/>
      <right style="medium">
        <color indexed="64"/>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bottom/>
      <diagonal/>
    </border>
  </borders>
  <cellStyleXfs count="35">
    <xf numFmtId="0" fontId="0" fillId="0" borderId="0"/>
    <xf numFmtId="166" fontId="3" fillId="0" borderId="0" applyFont="0" applyFill="0" applyBorder="0" applyAlignment="0" applyProtection="0"/>
    <xf numFmtId="0" fontId="2" fillId="0" borderId="0"/>
    <xf numFmtId="0" fontId="2" fillId="0" borderId="0"/>
    <xf numFmtId="165" fontId="21" fillId="0" borderId="0" applyFont="0" applyFill="0" applyBorder="0" applyAlignment="0" applyProtection="0"/>
    <xf numFmtId="44" fontId="3" fillId="0" borderId="0" applyFont="0" applyFill="0" applyBorder="0" applyAlignment="0" applyProtection="0"/>
    <xf numFmtId="169" fontId="11" fillId="0" borderId="0">
      <alignment horizontal="justify" vertical="top"/>
    </xf>
    <xf numFmtId="171" fontId="3" fillId="0" borderId="0" applyFont="0" applyFill="0" applyBorder="0" applyAlignment="0" applyProtection="0"/>
    <xf numFmtId="0" fontId="11" fillId="0" borderId="0">
      <alignment horizontal="justify"/>
    </xf>
    <xf numFmtId="0" fontId="22" fillId="0" borderId="0"/>
    <xf numFmtId="0" fontId="3" fillId="0" borderId="0"/>
    <xf numFmtId="0" fontId="21" fillId="0" borderId="0"/>
    <xf numFmtId="0" fontId="3" fillId="0" borderId="0"/>
    <xf numFmtId="0" fontId="21" fillId="0" borderId="0"/>
    <xf numFmtId="0" fontId="5" fillId="0" borderId="0"/>
    <xf numFmtId="9" fontId="3" fillId="0" borderId="0" applyFont="0" applyFill="0" applyBorder="0" applyAlignment="0" applyProtection="0"/>
    <xf numFmtId="164" fontId="3" fillId="0" borderId="0" applyFont="0" applyFill="0" applyBorder="0" applyAlignment="0" applyProtection="0"/>
    <xf numFmtId="168" fontId="7" fillId="0" borderId="0" applyFont="0" applyFill="0" applyBorder="0" applyAlignment="0" applyProtection="0"/>
    <xf numFmtId="170" fontId="11" fillId="0" borderId="0">
      <alignment horizontal="justify" vertical="top"/>
    </xf>
    <xf numFmtId="164" fontId="3" fillId="0" borderId="0" applyFont="0" applyFill="0" applyBorder="0" applyAlignment="0" applyProtection="0"/>
    <xf numFmtId="164" fontId="3" fillId="0" borderId="0" applyNumberForma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0" fontId="47" fillId="0" borderId="0"/>
    <xf numFmtId="0" fontId="3" fillId="0" borderId="0"/>
    <xf numFmtId="9" fontId="2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cellStyleXfs>
  <cellXfs count="954">
    <xf numFmtId="0" fontId="0" fillId="0" borderId="0" xfId="0"/>
    <xf numFmtId="0" fontId="4" fillId="0" borderId="0" xfId="0" applyFont="1" applyProtection="1">
      <protection hidden="1"/>
    </xf>
    <xf numFmtId="0" fontId="28" fillId="0" borderId="0" xfId="0" applyFont="1" applyAlignment="1" applyProtection="1">
      <alignment vertical="center"/>
      <protection hidden="1"/>
    </xf>
    <xf numFmtId="0" fontId="28" fillId="0" borderId="0" xfId="0" applyFont="1" applyAlignment="1" applyProtection="1">
      <alignment vertical="center" wrapText="1"/>
      <protection hidden="1"/>
    </xf>
    <xf numFmtId="0" fontId="28" fillId="4" borderId="0" xfId="0" applyFont="1" applyFill="1" applyAlignment="1" applyProtection="1">
      <alignment vertical="center" wrapText="1"/>
      <protection hidden="1"/>
    </xf>
    <xf numFmtId="4" fontId="28" fillId="4" borderId="54" xfId="0" applyNumberFormat="1" applyFont="1" applyFill="1" applyBorder="1" applyAlignment="1" applyProtection="1">
      <alignment vertical="center" wrapText="1"/>
      <protection hidden="1"/>
    </xf>
    <xf numFmtId="0" fontId="28" fillId="0" borderId="0" xfId="0" applyFont="1" applyAlignment="1" applyProtection="1">
      <alignment horizontal="justify" vertical="center" wrapText="1"/>
      <protection hidden="1"/>
    </xf>
    <xf numFmtId="0" fontId="28" fillId="0" borderId="0" xfId="0" applyFont="1" applyAlignment="1" applyProtection="1">
      <alignment horizontal="center" vertical="center" wrapText="1"/>
      <protection hidden="1"/>
    </xf>
    <xf numFmtId="2" fontId="28" fillId="0" borderId="0" xfId="19" applyNumberFormat="1" applyFont="1" applyBorder="1" applyAlignment="1" applyProtection="1">
      <alignment horizontal="center" vertical="center" wrapText="1"/>
      <protection hidden="1"/>
    </xf>
    <xf numFmtId="164" fontId="28" fillId="0" borderId="0" xfId="19" applyFont="1" applyBorder="1" applyAlignment="1" applyProtection="1">
      <alignment vertical="center" wrapText="1"/>
      <protection hidden="1"/>
    </xf>
    <xf numFmtId="0" fontId="28" fillId="0" borderId="0" xfId="12" applyFont="1" applyAlignment="1" applyProtection="1">
      <alignment vertical="center"/>
      <protection hidden="1"/>
    </xf>
    <xf numFmtId="0" fontId="28" fillId="0" borderId="0" xfId="12" applyFont="1" applyAlignment="1" applyProtection="1">
      <alignment horizontal="center" vertical="center"/>
      <protection hidden="1"/>
    </xf>
    <xf numFmtId="0" fontId="28" fillId="0" borderId="0" xfId="12" applyFont="1" applyAlignment="1" applyProtection="1">
      <alignment horizontal="left" vertical="center"/>
      <protection hidden="1"/>
    </xf>
    <xf numFmtId="4" fontId="28" fillId="0" borderId="0" xfId="12" applyNumberFormat="1" applyFont="1" applyAlignment="1" applyProtection="1">
      <alignment horizontal="center" vertical="center"/>
      <protection hidden="1"/>
    </xf>
    <xf numFmtId="10" fontId="28" fillId="0" borderId="0" xfId="12" applyNumberFormat="1" applyFont="1" applyAlignment="1" applyProtection="1">
      <alignment horizontal="center" vertical="center"/>
      <protection hidden="1"/>
    </xf>
    <xf numFmtId="10" fontId="28" fillId="0" borderId="0" xfId="12" applyNumberFormat="1" applyFont="1" applyAlignment="1" applyProtection="1">
      <alignment vertical="center"/>
      <protection hidden="1"/>
    </xf>
    <xf numFmtId="0" fontId="0" fillId="0" borderId="0" xfId="0" applyAlignment="1">
      <alignment horizontal="center"/>
    </xf>
    <xf numFmtId="0" fontId="28" fillId="0" borderId="0" xfId="12" applyFont="1" applyAlignment="1" applyProtection="1">
      <alignment vertical="center"/>
      <protection locked="0"/>
    </xf>
    <xf numFmtId="0" fontId="0" fillId="0" borderId="0" xfId="0" applyProtection="1">
      <protection locked="0"/>
    </xf>
    <xf numFmtId="164" fontId="28" fillId="0" borderId="0" xfId="20" applyFont="1" applyBorder="1" applyAlignment="1" applyProtection="1">
      <alignment vertical="center"/>
      <protection locked="0"/>
    </xf>
    <xf numFmtId="0" fontId="28" fillId="0" borderId="1" xfId="12" applyFont="1" applyBorder="1" applyAlignment="1" applyProtection="1">
      <alignment vertical="center"/>
      <protection locked="0"/>
    </xf>
    <xf numFmtId="164" fontId="28" fillId="0" borderId="0" xfId="20" applyFont="1" applyAlignment="1" applyProtection="1">
      <alignment vertical="center"/>
      <protection locked="0"/>
    </xf>
    <xf numFmtId="0" fontId="28" fillId="0" borderId="2" xfId="12" applyFont="1" applyBorder="1" applyAlignment="1" applyProtection="1">
      <alignment vertical="center"/>
      <protection locked="0"/>
    </xf>
    <xf numFmtId="0" fontId="28" fillId="0" borderId="1" xfId="0" applyFont="1" applyBorder="1" applyAlignment="1" applyProtection="1">
      <alignment vertical="center"/>
      <protection hidden="1"/>
    </xf>
    <xf numFmtId="0" fontId="28" fillId="0" borderId="2" xfId="0" applyFont="1" applyBorder="1" applyAlignment="1" applyProtection="1">
      <alignment vertical="center"/>
      <protection hidden="1"/>
    </xf>
    <xf numFmtId="0" fontId="28" fillId="0" borderId="3" xfId="0" applyFont="1" applyBorder="1" applyAlignment="1" applyProtection="1">
      <alignment vertical="center"/>
      <protection hidden="1"/>
    </xf>
    <xf numFmtId="0" fontId="28" fillId="0" borderId="4" xfId="0" applyFont="1" applyBorder="1" applyAlignment="1" applyProtection="1">
      <alignment vertical="center"/>
      <protection hidden="1"/>
    </xf>
    <xf numFmtId="0" fontId="28" fillId="0" borderId="5" xfId="0" applyFont="1" applyBorder="1" applyAlignment="1" applyProtection="1">
      <alignment vertical="center"/>
      <protection hidden="1"/>
    </xf>
    <xf numFmtId="0" fontId="28" fillId="0" borderId="6" xfId="0" applyFont="1" applyBorder="1" applyAlignment="1" applyProtection="1">
      <alignment horizontal="center" vertical="center"/>
      <protection hidden="1"/>
    </xf>
    <xf numFmtId="0" fontId="29" fillId="5" borderId="7" xfId="0" applyFont="1" applyFill="1" applyBorder="1" applyAlignment="1" applyProtection="1">
      <alignment vertical="center"/>
      <protection hidden="1"/>
    </xf>
    <xf numFmtId="0" fontId="29" fillId="5" borderId="7" xfId="0" applyFont="1" applyFill="1" applyBorder="1" applyAlignment="1">
      <alignment vertical="center"/>
    </xf>
    <xf numFmtId="4" fontId="29" fillId="5" borderId="6" xfId="0" applyNumberFormat="1" applyFont="1" applyFill="1" applyBorder="1" applyAlignment="1">
      <alignment horizontal="center" vertical="center" wrapText="1"/>
    </xf>
    <xf numFmtId="0" fontId="29" fillId="5" borderId="8" xfId="0" applyFont="1" applyFill="1" applyBorder="1" applyAlignment="1" applyProtection="1">
      <alignment horizontal="center" vertical="center"/>
      <protection hidden="1"/>
    </xf>
    <xf numFmtId="0" fontId="29" fillId="5" borderId="7" xfId="0" applyFont="1" applyFill="1" applyBorder="1" applyAlignment="1" applyProtection="1">
      <alignment horizontal="justify" vertical="center" wrapText="1"/>
      <protection hidden="1"/>
    </xf>
    <xf numFmtId="0" fontId="29" fillId="5" borderId="8" xfId="0" applyFont="1" applyFill="1" applyBorder="1" applyAlignment="1" applyProtection="1">
      <alignment horizontal="justify" vertical="center" wrapText="1"/>
      <protection hidden="1"/>
    </xf>
    <xf numFmtId="0" fontId="29" fillId="4" borderId="6" xfId="0" applyFont="1" applyFill="1" applyBorder="1" applyAlignment="1" applyProtection="1">
      <alignment horizontal="center" vertical="center"/>
      <protection hidden="1"/>
    </xf>
    <xf numFmtId="0" fontId="29" fillId="4" borderId="8" xfId="0" applyFont="1" applyFill="1" applyBorder="1" applyAlignment="1" applyProtection="1">
      <alignment horizontal="justify" vertical="center" wrapText="1"/>
      <protection hidden="1"/>
    </xf>
    <xf numFmtId="0" fontId="29" fillId="4" borderId="7" xfId="0" applyFont="1" applyFill="1" applyBorder="1" applyAlignment="1" applyProtection="1">
      <alignment horizontal="center" vertical="center"/>
      <protection hidden="1"/>
    </xf>
    <xf numFmtId="2" fontId="29" fillId="4" borderId="7" xfId="0" applyNumberFormat="1" applyFont="1" applyFill="1" applyBorder="1" applyAlignment="1" applyProtection="1">
      <alignment horizontal="center" vertical="center"/>
      <protection hidden="1"/>
    </xf>
    <xf numFmtId="0" fontId="29" fillId="4" borderId="7" xfId="0" applyFont="1" applyFill="1" applyBorder="1" applyAlignment="1">
      <alignment horizontal="center" vertical="center"/>
    </xf>
    <xf numFmtId="4" fontId="29" fillId="4" borderId="6" xfId="0" applyNumberFormat="1" applyFont="1" applyFill="1" applyBorder="1" applyAlignment="1">
      <alignment horizontal="center" vertical="center" wrapText="1"/>
    </xf>
    <xf numFmtId="4" fontId="29" fillId="4" borderId="6" xfId="19" applyNumberFormat="1" applyFont="1" applyFill="1" applyBorder="1" applyAlignment="1" applyProtection="1">
      <alignment horizontal="center" vertical="center" wrapText="1"/>
      <protection hidden="1"/>
    </xf>
    <xf numFmtId="0" fontId="28" fillId="0" borderId="7" xfId="0" applyFont="1" applyBorder="1" applyAlignment="1" applyProtection="1">
      <alignment horizontal="justify" vertical="center" wrapText="1"/>
      <protection hidden="1"/>
    </xf>
    <xf numFmtId="0" fontId="28" fillId="0" borderId="8" xfId="0" applyFont="1" applyBorder="1" applyAlignment="1" applyProtection="1">
      <alignment horizontal="center" vertical="center"/>
      <protection hidden="1"/>
    </xf>
    <xf numFmtId="0" fontId="28" fillId="0" borderId="7" xfId="0" applyFont="1" applyBorder="1" applyAlignment="1" applyProtection="1">
      <alignment horizontal="center" vertical="center" wrapText="1"/>
      <protection hidden="1"/>
    </xf>
    <xf numFmtId="4" fontId="28" fillId="0" borderId="7" xfId="0" applyNumberFormat="1" applyFont="1" applyBorder="1" applyAlignment="1" applyProtection="1">
      <alignment horizontal="center" vertical="center" wrapText="1"/>
      <protection hidden="1"/>
    </xf>
    <xf numFmtId="4" fontId="28" fillId="0" borderId="7" xfId="19" applyNumberFormat="1" applyFont="1" applyFill="1" applyBorder="1" applyAlignment="1" applyProtection="1">
      <alignment horizontal="center" vertical="center" wrapText="1"/>
      <protection hidden="1"/>
    </xf>
    <xf numFmtId="4" fontId="28" fillId="0" borderId="7" xfId="19" applyNumberFormat="1" applyFont="1" applyFill="1" applyBorder="1" applyAlignment="1" applyProtection="1">
      <alignment horizontal="center" vertical="center" wrapText="1"/>
    </xf>
    <xf numFmtId="4" fontId="28" fillId="0" borderId="9" xfId="19" applyNumberFormat="1" applyFont="1" applyFill="1" applyBorder="1" applyAlignment="1" applyProtection="1">
      <alignment horizontal="center" vertical="center" wrapText="1"/>
    </xf>
    <xf numFmtId="0" fontId="28" fillId="4" borderId="8" xfId="0" applyFont="1" applyFill="1" applyBorder="1" applyAlignment="1" applyProtection="1">
      <alignment vertical="center" wrapText="1"/>
      <protection hidden="1"/>
    </xf>
    <xf numFmtId="0" fontId="28" fillId="4" borderId="7" xfId="0" applyFont="1" applyFill="1" applyBorder="1" applyAlignment="1" applyProtection="1">
      <alignment vertical="center" wrapText="1"/>
      <protection hidden="1"/>
    </xf>
    <xf numFmtId="0" fontId="28" fillId="4" borderId="9" xfId="0" applyFont="1" applyFill="1" applyBorder="1" applyAlignment="1" applyProtection="1">
      <alignment vertical="center" wrapText="1"/>
      <protection hidden="1"/>
    </xf>
    <xf numFmtId="0" fontId="28" fillId="4" borderId="8" xfId="0" applyFont="1" applyFill="1" applyBorder="1" applyAlignment="1">
      <alignment vertical="center" wrapText="1"/>
    </xf>
    <xf numFmtId="0" fontId="28" fillId="4" borderId="7" xfId="0" applyFont="1" applyFill="1" applyBorder="1" applyAlignment="1">
      <alignment vertical="center" wrapText="1"/>
    </xf>
    <xf numFmtId="0" fontId="28" fillId="4" borderId="9" xfId="0" applyFont="1" applyFill="1" applyBorder="1" applyAlignment="1">
      <alignment vertical="center" wrapText="1"/>
    </xf>
    <xf numFmtId="0" fontId="28" fillId="0" borderId="10" xfId="0" applyFont="1" applyBorder="1" applyAlignment="1">
      <alignment vertical="center" wrapText="1"/>
    </xf>
    <xf numFmtId="0" fontId="28" fillId="0" borderId="2" xfId="0" applyFont="1" applyBorder="1" applyAlignment="1">
      <alignment vertical="center"/>
    </xf>
    <xf numFmtId="0" fontId="28" fillId="0" borderId="5" xfId="0" applyFont="1" applyBorder="1" applyAlignment="1">
      <alignment vertical="center"/>
    </xf>
    <xf numFmtId="0" fontId="29" fillId="2" borderId="6" xfId="12" applyFont="1" applyFill="1" applyBorder="1" applyAlignment="1" applyProtection="1">
      <alignment horizontal="center" vertical="center" wrapText="1"/>
      <protection locked="0"/>
    </xf>
    <xf numFmtId="0" fontId="29" fillId="2" borderId="6" xfId="12" applyFont="1" applyFill="1" applyBorder="1" applyAlignment="1" applyProtection="1">
      <alignment horizontal="left" vertical="center" wrapText="1"/>
      <protection locked="0"/>
    </xf>
    <xf numFmtId="9" fontId="28" fillId="3" borderId="6" xfId="15" applyFont="1" applyFill="1" applyBorder="1" applyAlignment="1" applyProtection="1">
      <alignment horizontal="center" vertical="center" wrapText="1"/>
      <protection locked="0"/>
    </xf>
    <xf numFmtId="0" fontId="28" fillId="0" borderId="6" xfId="12" applyFont="1" applyBorder="1" applyAlignment="1" applyProtection="1">
      <alignment horizontal="center" vertical="center" wrapText="1"/>
      <protection locked="0"/>
    </xf>
    <xf numFmtId="164" fontId="28" fillId="0" borderId="6" xfId="16" applyFont="1" applyFill="1" applyBorder="1" applyAlignment="1" applyProtection="1">
      <alignment horizontal="center" vertical="center" wrapText="1"/>
      <protection locked="0"/>
    </xf>
    <xf numFmtId="164" fontId="29" fillId="0" borderId="6" xfId="19" applyFont="1" applyFill="1" applyBorder="1" applyAlignment="1" applyProtection="1">
      <alignment horizontal="center" vertical="center" wrapText="1"/>
      <protection hidden="1"/>
    </xf>
    <xf numFmtId="0" fontId="29" fillId="4" borderId="8" xfId="0" applyFont="1" applyFill="1" applyBorder="1" applyAlignment="1" applyProtection="1">
      <alignment horizontal="center" vertical="center"/>
      <protection hidden="1"/>
    </xf>
    <xf numFmtId="0" fontId="28" fillId="0" borderId="7" xfId="0" applyFont="1" applyBorder="1" applyAlignment="1" applyProtection="1">
      <alignment horizontal="center" vertical="center"/>
      <protection hidden="1"/>
    </xf>
    <xf numFmtId="0" fontId="31" fillId="0" borderId="7" xfId="0" applyFont="1" applyBorder="1" applyAlignment="1">
      <alignment horizontal="center" vertical="center"/>
    </xf>
    <xf numFmtId="0" fontId="31" fillId="0" borderId="10" xfId="0" applyFont="1" applyBorder="1" applyAlignment="1">
      <alignment horizontal="center" vertical="center"/>
    </xf>
    <xf numFmtId="0" fontId="31" fillId="0" borderId="6" xfId="0" applyFont="1" applyBorder="1" applyAlignment="1">
      <alignment horizontal="center" vertical="center"/>
    </xf>
    <xf numFmtId="0" fontId="32" fillId="0" borderId="11" xfId="0" applyFont="1" applyBorder="1" applyAlignment="1">
      <alignment horizontal="center" vertical="center" wrapText="1"/>
    </xf>
    <xf numFmtId="0" fontId="29" fillId="6" borderId="12" xfId="8" applyFont="1" applyFill="1" applyBorder="1" applyAlignment="1">
      <alignment horizontal="center" vertical="center"/>
    </xf>
    <xf numFmtId="169" fontId="29" fillId="6" borderId="13" xfId="6" applyFont="1" applyFill="1" applyBorder="1" applyAlignment="1" applyProtection="1">
      <alignment horizontal="center" vertical="center"/>
      <protection hidden="1"/>
    </xf>
    <xf numFmtId="0" fontId="33" fillId="7" borderId="13" xfId="8" applyFont="1" applyFill="1" applyBorder="1" applyAlignment="1">
      <alignment horizontal="center" vertical="center"/>
    </xf>
    <xf numFmtId="0" fontId="34" fillId="0" borderId="13" xfId="8" applyFont="1" applyBorder="1" applyAlignment="1">
      <alignment horizontal="center" vertical="center"/>
    </xf>
    <xf numFmtId="10" fontId="34" fillId="0" borderId="13" xfId="8" applyNumberFormat="1" applyFont="1" applyBorder="1" applyAlignment="1" applyProtection="1">
      <alignment horizontal="center" vertical="center"/>
      <protection hidden="1"/>
    </xf>
    <xf numFmtId="0" fontId="35" fillId="0" borderId="0" xfId="0" applyFont="1"/>
    <xf numFmtId="0" fontId="34" fillId="0" borderId="0" xfId="2" applyFont="1" applyAlignment="1">
      <alignment horizontal="justify" vertical="center"/>
    </xf>
    <xf numFmtId="0" fontId="34" fillId="0" borderId="0" xfId="2" applyFont="1" applyAlignment="1">
      <alignment horizontal="justify" vertical="center" wrapText="1"/>
    </xf>
    <xf numFmtId="0" fontId="34" fillId="0" borderId="0" xfId="2" applyFont="1" applyAlignment="1">
      <alignment horizontal="center" vertical="center"/>
    </xf>
    <xf numFmtId="0" fontId="29" fillId="8" borderId="7" xfId="0" applyFont="1" applyFill="1" applyBorder="1" applyAlignment="1" applyProtection="1">
      <alignment horizontal="justify" vertical="center" wrapText="1"/>
      <protection hidden="1"/>
    </xf>
    <xf numFmtId="0" fontId="3" fillId="0" borderId="0" xfId="12" applyAlignment="1">
      <alignment vertical="center"/>
    </xf>
    <xf numFmtId="4" fontId="13" fillId="5" borderId="14" xfId="12" applyNumberFormat="1" applyFont="1" applyFill="1" applyBorder="1" applyAlignment="1">
      <alignment horizontal="center" vertical="center"/>
    </xf>
    <xf numFmtId="0" fontId="6" fillId="5" borderId="5" xfId="12" applyFont="1" applyFill="1" applyBorder="1" applyAlignment="1">
      <alignment horizontal="center" vertical="center"/>
    </xf>
    <xf numFmtId="4" fontId="3" fillId="5" borderId="15" xfId="12" applyNumberFormat="1" applyFill="1" applyBorder="1" applyAlignment="1">
      <alignment horizontal="center" vertical="center"/>
    </xf>
    <xf numFmtId="0" fontId="13" fillId="8" borderId="6" xfId="12" applyFont="1" applyFill="1" applyBorder="1" applyAlignment="1">
      <alignment horizontal="center" vertical="center"/>
    </xf>
    <xf numFmtId="167" fontId="13" fillId="8" borderId="6" xfId="12" applyNumberFormat="1" applyFont="1" applyFill="1" applyBorder="1" applyAlignment="1">
      <alignment horizontal="center" vertical="center"/>
    </xf>
    <xf numFmtId="4" fontId="13" fillId="8" borderId="6" xfId="12" applyNumberFormat="1" applyFont="1" applyFill="1" applyBorder="1" applyAlignment="1">
      <alignment horizontal="center" vertical="center"/>
    </xf>
    <xf numFmtId="0" fontId="9" fillId="0" borderId="6" xfId="12" applyFont="1" applyBorder="1" applyAlignment="1">
      <alignment horizontal="center" vertical="center"/>
    </xf>
    <xf numFmtId="167" fontId="9" fillId="0" borderId="6" xfId="12" applyNumberFormat="1" applyFont="1" applyBorder="1" applyAlignment="1">
      <alignment horizontal="center" vertical="center"/>
    </xf>
    <xf numFmtId="4" fontId="9" fillId="0" borderId="6" xfId="12" applyNumberFormat="1" applyFont="1" applyBorder="1" applyAlignment="1">
      <alignment horizontal="center" vertical="center"/>
    </xf>
    <xf numFmtId="171" fontId="9" fillId="8" borderId="6" xfId="7" applyFont="1" applyFill="1" applyBorder="1" applyAlignment="1">
      <alignment horizontal="center" vertical="center"/>
    </xf>
    <xf numFmtId="0" fontId="3" fillId="0" borderId="8" xfId="12" applyBorder="1" applyAlignment="1">
      <alignment vertical="center"/>
    </xf>
    <xf numFmtId="0" fontId="14" fillId="0" borderId="7" xfId="12" applyFont="1" applyBorder="1" applyAlignment="1">
      <alignment horizontal="center" vertical="center"/>
    </xf>
    <xf numFmtId="0" fontId="14" fillId="0" borderId="4" xfId="12" applyFont="1" applyBorder="1" applyAlignment="1">
      <alignment horizontal="center" vertical="center"/>
    </xf>
    <xf numFmtId="167" fontId="14" fillId="0" borderId="4" xfId="12" applyNumberFormat="1" applyFont="1" applyBorder="1" applyAlignment="1">
      <alignment horizontal="center" vertical="center"/>
    </xf>
    <xf numFmtId="4" fontId="14" fillId="0" borderId="4" xfId="12" applyNumberFormat="1" applyFont="1" applyBorder="1" applyAlignment="1">
      <alignment horizontal="center" vertical="center"/>
    </xf>
    <xf numFmtId="4" fontId="3" fillId="0" borderId="9" xfId="12" applyNumberFormat="1" applyBorder="1" applyAlignment="1">
      <alignment horizontal="center" vertical="center"/>
    </xf>
    <xf numFmtId="167" fontId="14" fillId="0" borderId="7" xfId="12" applyNumberFormat="1" applyFont="1" applyBorder="1" applyAlignment="1">
      <alignment horizontal="center" vertical="center"/>
    </xf>
    <xf numFmtId="4" fontId="14" fillId="0" borderId="7" xfId="12" applyNumberFormat="1" applyFont="1" applyBorder="1" applyAlignment="1">
      <alignment horizontal="center" vertical="center"/>
    </xf>
    <xf numFmtId="0" fontId="3" fillId="0" borderId="7" xfId="12" applyBorder="1" applyAlignment="1">
      <alignment vertical="center"/>
    </xf>
    <xf numFmtId="167" fontId="3" fillId="0" borderId="7" xfId="12" applyNumberFormat="1" applyBorder="1" applyAlignment="1">
      <alignment vertical="center"/>
    </xf>
    <xf numFmtId="4" fontId="3" fillId="0" borderId="7" xfId="12" applyNumberFormat="1" applyBorder="1" applyAlignment="1">
      <alignment vertical="center"/>
    </xf>
    <xf numFmtId="4" fontId="3" fillId="0" borderId="9" xfId="12" applyNumberFormat="1" applyBorder="1" applyAlignment="1">
      <alignment vertical="center"/>
    </xf>
    <xf numFmtId="171" fontId="14" fillId="4" borderId="16" xfId="7" applyFont="1" applyFill="1" applyBorder="1" applyAlignment="1">
      <alignment horizontal="center" vertical="center"/>
    </xf>
    <xf numFmtId="167" fontId="3" fillId="0" borderId="0" xfId="12" applyNumberFormat="1" applyAlignment="1">
      <alignment vertical="center"/>
    </xf>
    <xf numFmtId="4" fontId="3" fillId="0" borderId="0" xfId="12" applyNumberFormat="1" applyAlignment="1">
      <alignment vertical="center"/>
    </xf>
    <xf numFmtId="0" fontId="9" fillId="0" borderId="0" xfId="12" applyFont="1" applyAlignment="1">
      <alignment vertical="center"/>
    </xf>
    <xf numFmtId="4" fontId="14" fillId="0" borderId="17" xfId="12" applyNumberFormat="1" applyFont="1" applyBorder="1" applyAlignment="1">
      <alignment horizontal="center" vertical="center"/>
    </xf>
    <xf numFmtId="4" fontId="9" fillId="0" borderId="18" xfId="12" applyNumberFormat="1" applyFont="1" applyBorder="1" applyAlignment="1">
      <alignment horizontal="center" vertical="center"/>
    </xf>
    <xf numFmtId="0" fontId="9" fillId="0" borderId="0" xfId="12" applyFont="1" applyAlignment="1">
      <alignment horizontal="center" vertical="center"/>
    </xf>
    <xf numFmtId="4" fontId="9" fillId="0" borderId="0" xfId="12" applyNumberFormat="1" applyFont="1" applyAlignment="1">
      <alignment horizontal="center" vertical="center"/>
    </xf>
    <xf numFmtId="4" fontId="14" fillId="0" borderId="0" xfId="12" applyNumberFormat="1" applyFont="1" applyAlignment="1">
      <alignment horizontal="center" vertical="center"/>
    </xf>
    <xf numFmtId="10" fontId="29" fillId="4" borderId="6" xfId="0" applyNumberFormat="1" applyFont="1" applyFill="1" applyBorder="1" applyAlignment="1">
      <alignment horizontal="center" vertical="center" wrapText="1"/>
    </xf>
    <xf numFmtId="4" fontId="29" fillId="4" borderId="9" xfId="19" applyNumberFormat="1" applyFont="1" applyFill="1" applyBorder="1" applyAlignment="1" applyProtection="1">
      <alignment horizontal="center" vertical="center" wrapText="1"/>
      <protection hidden="1"/>
    </xf>
    <xf numFmtId="0" fontId="36" fillId="0" borderId="0" xfId="0" applyFont="1" applyAlignment="1" applyProtection="1">
      <alignment vertical="center"/>
      <protection hidden="1"/>
    </xf>
    <xf numFmtId="10" fontId="23" fillId="0" borderId="0" xfId="15" applyNumberFormat="1" applyFont="1" applyBorder="1" applyAlignment="1" applyProtection="1">
      <alignment horizontal="center" vertical="center"/>
      <protection hidden="1"/>
    </xf>
    <xf numFmtId="0" fontId="34" fillId="0" borderId="19" xfId="8" applyFont="1" applyBorder="1" applyAlignment="1">
      <alignment horizontal="center" vertical="center"/>
    </xf>
    <xf numFmtId="165" fontId="29" fillId="0" borderId="6" xfId="4" applyFont="1" applyBorder="1" applyAlignment="1" applyProtection="1">
      <alignment horizontal="center" vertical="center"/>
      <protection hidden="1"/>
    </xf>
    <xf numFmtId="10" fontId="29" fillId="0" borderId="6" xfId="12" applyNumberFormat="1" applyFont="1" applyBorder="1" applyAlignment="1" applyProtection="1">
      <alignment horizontal="center" vertical="center"/>
      <protection hidden="1"/>
    </xf>
    <xf numFmtId="14" fontId="28" fillId="0" borderId="6" xfId="0" applyNumberFormat="1" applyFont="1" applyBorder="1" applyAlignment="1" applyProtection="1">
      <alignment horizontal="center" vertical="center"/>
      <protection hidden="1"/>
    </xf>
    <xf numFmtId="0" fontId="29" fillId="0" borderId="7" xfId="0" applyFont="1" applyBorder="1" applyAlignment="1" applyProtection="1">
      <alignment horizontal="center" vertical="center"/>
      <protection hidden="1"/>
    </xf>
    <xf numFmtId="0" fontId="31" fillId="0" borderId="8" xfId="0" applyFont="1" applyBorder="1" applyAlignment="1">
      <alignment horizontal="center" vertical="center"/>
    </xf>
    <xf numFmtId="10" fontId="34" fillId="0" borderId="20" xfId="8" applyNumberFormat="1" applyFont="1" applyBorder="1" applyAlignment="1" applyProtection="1">
      <alignment horizontal="center" vertical="center"/>
      <protection hidden="1"/>
    </xf>
    <xf numFmtId="0" fontId="28" fillId="4" borderId="4" xfId="0" applyFont="1" applyFill="1" applyBorder="1" applyAlignment="1" applyProtection="1">
      <alignment vertical="center" wrapText="1"/>
      <protection hidden="1"/>
    </xf>
    <xf numFmtId="0" fontId="29" fillId="4" borderId="7" xfId="0" applyFont="1" applyFill="1" applyBorder="1" applyAlignment="1" applyProtection="1">
      <alignment horizontal="justify" vertical="center" wrapText="1"/>
      <protection hidden="1"/>
    </xf>
    <xf numFmtId="4" fontId="29" fillId="4" borderId="8" xfId="0" applyNumberFormat="1"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protection hidden="1"/>
    </xf>
    <xf numFmtId="0" fontId="28" fillId="8" borderId="8" xfId="0" applyFont="1" applyFill="1" applyBorder="1" applyAlignment="1" applyProtection="1">
      <alignment horizontal="justify" vertical="center" wrapText="1"/>
      <protection hidden="1"/>
    </xf>
    <xf numFmtId="4" fontId="28" fillId="8" borderId="8" xfId="0" applyNumberFormat="1" applyFont="1" applyFill="1" applyBorder="1" applyAlignment="1" applyProtection="1">
      <alignment horizontal="center" vertical="center" wrapText="1"/>
      <protection hidden="1"/>
    </xf>
    <xf numFmtId="10" fontId="28" fillId="8" borderId="6" xfId="0" applyNumberFormat="1" applyFont="1" applyFill="1" applyBorder="1" applyAlignment="1">
      <alignment horizontal="center" vertical="center" wrapText="1"/>
    </xf>
    <xf numFmtId="4" fontId="9" fillId="0" borderId="17" xfId="12" applyNumberFormat="1" applyFont="1" applyBorder="1" applyAlignment="1">
      <alignment horizontal="left" vertical="center" wrapText="1"/>
    </xf>
    <xf numFmtId="4" fontId="9" fillId="0" borderId="17" xfId="12" applyNumberFormat="1" applyFont="1" applyBorder="1" applyAlignment="1">
      <alignment horizontal="center" vertical="center" wrapText="1"/>
    </xf>
    <xf numFmtId="4" fontId="9" fillId="0" borderId="0" xfId="12" applyNumberFormat="1" applyFont="1" applyAlignment="1">
      <alignment horizontal="center" vertical="center" wrapText="1"/>
    </xf>
    <xf numFmtId="0" fontId="29" fillId="8" borderId="6" xfId="0" applyFont="1" applyFill="1" applyBorder="1" applyAlignment="1" applyProtection="1">
      <alignment vertical="center"/>
      <protection hidden="1"/>
    </xf>
    <xf numFmtId="0" fontId="29" fillId="8" borderId="6" xfId="0" applyFont="1" applyFill="1" applyBorder="1" applyAlignment="1" applyProtection="1">
      <alignment horizontal="center" vertical="center"/>
      <protection hidden="1"/>
    </xf>
    <xf numFmtId="0" fontId="29" fillId="8" borderId="14" xfId="0" applyFont="1" applyFill="1" applyBorder="1" applyAlignment="1" applyProtection="1">
      <alignment vertical="center"/>
      <protection hidden="1"/>
    </xf>
    <xf numFmtId="0" fontId="29" fillId="8" borderId="14" xfId="0" applyFont="1" applyFill="1" applyBorder="1" applyAlignment="1">
      <alignment vertical="center"/>
    </xf>
    <xf numFmtId="0" fontId="29" fillId="8" borderId="6" xfId="0" applyFont="1" applyFill="1" applyBorder="1" applyAlignment="1">
      <alignment vertical="center"/>
    </xf>
    <xf numFmtId="0" fontId="29" fillId="8" borderId="15" xfId="0" applyFont="1" applyFill="1" applyBorder="1" applyAlignment="1">
      <alignment vertical="center"/>
    </xf>
    <xf numFmtId="0" fontId="29" fillId="8" borderId="15" xfId="0" applyFont="1" applyFill="1" applyBorder="1" applyAlignment="1" applyProtection="1">
      <alignment vertical="center"/>
      <protection hidden="1"/>
    </xf>
    <xf numFmtId="0" fontId="3" fillId="0" borderId="6" xfId="0" applyFont="1" applyBorder="1" applyAlignment="1">
      <alignment vertical="center"/>
    </xf>
    <xf numFmtId="0" fontId="6" fillId="0" borderId="6" xfId="0" applyFont="1" applyBorder="1" applyAlignment="1">
      <alignment horizontal="center" vertical="center"/>
    </xf>
    <xf numFmtId="0" fontId="3" fillId="0" borderId="6" xfId="0" applyFont="1" applyBorder="1" applyAlignment="1">
      <alignment vertical="center" wrapText="1"/>
    </xf>
    <xf numFmtId="0" fontId="0" fillId="0" borderId="0" xfId="0" applyAlignment="1">
      <alignment vertical="center"/>
    </xf>
    <xf numFmtId="0" fontId="0" fillId="0" borderId="6" xfId="0" applyBorder="1" applyAlignment="1">
      <alignment horizontal="center" vertical="center"/>
    </xf>
    <xf numFmtId="0" fontId="24" fillId="0" borderId="6" xfId="0" applyFont="1" applyBorder="1" applyAlignment="1">
      <alignment horizontal="center" vertical="center"/>
    </xf>
    <xf numFmtId="0" fontId="4" fillId="0" borderId="0" xfId="0" applyFont="1" applyAlignment="1" applyProtection="1">
      <alignment vertical="center"/>
      <protection hidden="1"/>
    </xf>
    <xf numFmtId="0" fontId="28" fillId="0" borderId="22" xfId="0" applyFont="1" applyBorder="1" applyAlignment="1" applyProtection="1">
      <alignment vertical="center" wrapText="1"/>
      <protection hidden="1"/>
    </xf>
    <xf numFmtId="0" fontId="28" fillId="0" borderId="21" xfId="0" applyFont="1" applyBorder="1" applyAlignment="1" applyProtection="1">
      <alignment vertical="center" wrapText="1"/>
      <protection hidden="1"/>
    </xf>
    <xf numFmtId="0" fontId="28" fillId="0" borderId="10" xfId="0" applyFont="1" applyBorder="1" applyAlignment="1" applyProtection="1">
      <alignment vertical="center" wrapText="1"/>
      <protection hidden="1"/>
    </xf>
    <xf numFmtId="0" fontId="29" fillId="8" borderId="3" xfId="0" applyFont="1" applyFill="1" applyBorder="1" applyAlignment="1">
      <alignment vertical="center"/>
    </xf>
    <xf numFmtId="0" fontId="28" fillId="0" borderId="21" xfId="0" applyFont="1" applyBorder="1" applyAlignment="1" applyProtection="1">
      <alignment vertical="center"/>
      <protection hidden="1"/>
    </xf>
    <xf numFmtId="0" fontId="28" fillId="0" borderId="10" xfId="0" applyFont="1" applyBorder="1" applyAlignment="1" applyProtection="1">
      <alignment vertical="center"/>
      <protection hidden="1"/>
    </xf>
    <xf numFmtId="0" fontId="28" fillId="4" borderId="21" xfId="0" applyFont="1" applyFill="1" applyBorder="1" applyAlignment="1" applyProtection="1">
      <alignment vertical="center" wrapText="1"/>
      <protection hidden="1"/>
    </xf>
    <xf numFmtId="0" fontId="28" fillId="4" borderId="10" xfId="0" applyFont="1" applyFill="1" applyBorder="1" applyAlignment="1" applyProtection="1">
      <alignment vertical="center" wrapText="1"/>
      <protection hidden="1"/>
    </xf>
    <xf numFmtId="0" fontId="28" fillId="4" borderId="5" xfId="0" applyFont="1" applyFill="1" applyBorder="1" applyAlignment="1" applyProtection="1">
      <alignment vertical="center" wrapText="1"/>
      <protection hidden="1"/>
    </xf>
    <xf numFmtId="0" fontId="29" fillId="0" borderId="2" xfId="0" applyFont="1" applyBorder="1" applyAlignment="1" applyProtection="1">
      <alignment horizontal="center" vertical="center" wrapText="1"/>
      <protection hidden="1"/>
    </xf>
    <xf numFmtId="3" fontId="29" fillId="0" borderId="8" xfId="19" applyNumberFormat="1" applyFont="1" applyFill="1" applyBorder="1" applyAlignment="1" applyProtection="1">
      <alignment wrapText="1"/>
      <protection hidden="1"/>
    </xf>
    <xf numFmtId="4" fontId="29" fillId="0" borderId="9" xfId="19" applyNumberFormat="1" applyFont="1" applyFill="1" applyBorder="1" applyAlignment="1" applyProtection="1">
      <alignment wrapText="1"/>
      <protection hidden="1"/>
    </xf>
    <xf numFmtId="0" fontId="28" fillId="4" borderId="7" xfId="0" applyFont="1" applyFill="1" applyBorder="1" applyAlignment="1" applyProtection="1">
      <alignment horizontal="justify" vertical="center" wrapText="1"/>
      <protection hidden="1"/>
    </xf>
    <xf numFmtId="0" fontId="13" fillId="8" borderId="6" xfId="12" applyFont="1" applyFill="1" applyBorder="1" applyAlignment="1">
      <alignment horizontal="justify" vertical="center" wrapText="1"/>
    </xf>
    <xf numFmtId="0" fontId="14" fillId="0" borderId="4" xfId="12" applyFont="1" applyBorder="1" applyAlignment="1">
      <alignment horizontal="justify" vertical="center" wrapText="1"/>
    </xf>
    <xf numFmtId="0" fontId="14" fillId="0" borderId="7" xfId="12" applyFont="1" applyBorder="1" applyAlignment="1">
      <alignment horizontal="justify" vertical="center" wrapText="1"/>
    </xf>
    <xf numFmtId="0" fontId="3" fillId="0" borderId="7" xfId="12" applyBorder="1" applyAlignment="1">
      <alignment horizontal="justify" vertical="center" wrapText="1"/>
    </xf>
    <xf numFmtId="0" fontId="3" fillId="0" borderId="0" xfId="12" applyAlignment="1">
      <alignment horizontal="justify" vertical="center" wrapText="1"/>
    </xf>
    <xf numFmtId="0" fontId="9" fillId="0" borderId="18" xfId="12" applyFont="1" applyBorder="1" applyAlignment="1">
      <alignment horizontal="justify" vertical="center" wrapText="1"/>
    </xf>
    <xf numFmtId="0" fontId="9" fillId="0" borderId="0" xfId="12" applyFont="1" applyAlignment="1">
      <alignment horizontal="justify" vertical="center" wrapText="1"/>
    </xf>
    <xf numFmtId="0" fontId="29" fillId="0" borderId="10" xfId="0" applyFont="1" applyBorder="1" applyAlignment="1" applyProtection="1">
      <alignment horizontal="center" vertical="center" wrapText="1"/>
      <protection hidden="1"/>
    </xf>
    <xf numFmtId="0" fontId="29" fillId="0" borderId="8" xfId="0" applyFont="1" applyBorder="1" applyAlignment="1" applyProtection="1">
      <alignment vertical="center" wrapText="1"/>
      <protection hidden="1"/>
    </xf>
    <xf numFmtId="0" fontId="28" fillId="0" borderId="1" xfId="0" applyFont="1" applyBorder="1" applyAlignment="1" applyProtection="1">
      <alignment vertical="center" wrapText="1"/>
      <protection hidden="1"/>
    </xf>
    <xf numFmtId="0" fontId="37" fillId="0" borderId="23" xfId="0" applyFont="1" applyBorder="1" applyAlignment="1">
      <alignment horizontal="center"/>
    </xf>
    <xf numFmtId="0" fontId="38" fillId="0" borderId="6" xfId="0" applyFont="1" applyBorder="1" applyAlignment="1">
      <alignment horizontal="center"/>
    </xf>
    <xf numFmtId="0" fontId="38" fillId="0" borderId="24" xfId="0" applyFont="1" applyBorder="1" applyAlignment="1">
      <alignment horizontal="center"/>
    </xf>
    <xf numFmtId="0" fontId="38" fillId="0" borderId="23" xfId="0" applyFont="1" applyBorder="1" applyAlignment="1">
      <alignment horizontal="center"/>
    </xf>
    <xf numFmtId="10" fontId="37" fillId="0" borderId="6" xfId="0" applyNumberFormat="1" applyFont="1" applyBorder="1" applyAlignment="1">
      <alignment horizontal="center"/>
    </xf>
    <xf numFmtId="10" fontId="37" fillId="0" borderId="24" xfId="0" applyNumberFormat="1" applyFont="1" applyBorder="1" applyAlignment="1">
      <alignment horizontal="center"/>
    </xf>
    <xf numFmtId="0" fontId="38" fillId="0" borderId="25" xfId="0" applyFont="1" applyBorder="1" applyAlignment="1">
      <alignment horizontal="center"/>
    </xf>
    <xf numFmtId="10" fontId="37" fillId="0" borderId="26" xfId="0" applyNumberFormat="1" applyFont="1" applyBorder="1" applyAlignment="1">
      <alignment horizontal="center"/>
    </xf>
    <xf numFmtId="10" fontId="37" fillId="0" borderId="27" xfId="0" applyNumberFormat="1" applyFont="1" applyBorder="1" applyAlignment="1">
      <alignment horizontal="center"/>
    </xf>
    <xf numFmtId="0" fontId="6" fillId="5" borderId="15" xfId="12" applyFont="1" applyFill="1" applyBorder="1" applyAlignment="1">
      <alignment horizontal="center" vertical="center"/>
    </xf>
    <xf numFmtId="0" fontId="9" fillId="0" borderId="18" xfId="12" applyFont="1" applyBorder="1" applyAlignment="1">
      <alignment horizontal="left" vertical="center" wrapText="1"/>
    </xf>
    <xf numFmtId="0" fontId="9" fillId="0" borderId="0" xfId="12" applyFont="1" applyAlignment="1">
      <alignment horizontal="left" vertical="center"/>
    </xf>
    <xf numFmtId="4" fontId="28" fillId="4" borderId="21" xfId="0" applyNumberFormat="1" applyFont="1" applyFill="1" applyBorder="1" applyAlignment="1" applyProtection="1">
      <alignment vertical="center" wrapText="1"/>
      <protection hidden="1"/>
    </xf>
    <xf numFmtId="4" fontId="28" fillId="0" borderId="21" xfId="0" applyNumberFormat="1" applyFont="1" applyBorder="1" applyAlignment="1" applyProtection="1">
      <alignment vertical="center" wrapText="1"/>
      <protection hidden="1"/>
    </xf>
    <xf numFmtId="4" fontId="28" fillId="0" borderId="4" xfId="0" applyNumberFormat="1" applyFont="1" applyBorder="1" applyAlignment="1" applyProtection="1">
      <alignment vertical="center"/>
      <protection hidden="1"/>
    </xf>
    <xf numFmtId="4" fontId="28" fillId="4" borderId="7" xfId="0" applyNumberFormat="1" applyFont="1" applyFill="1" applyBorder="1" applyAlignment="1" applyProtection="1">
      <alignment vertical="center" wrapText="1"/>
      <protection hidden="1"/>
    </xf>
    <xf numFmtId="4" fontId="6" fillId="5" borderId="5" xfId="12" applyNumberFormat="1" applyFont="1" applyFill="1" applyBorder="1" applyAlignment="1">
      <alignment vertical="center"/>
    </xf>
    <xf numFmtId="0" fontId="9" fillId="0" borderId="18" xfId="12" applyFont="1" applyBorder="1" applyAlignment="1">
      <alignment horizontal="center" vertical="center"/>
    </xf>
    <xf numFmtId="0" fontId="12" fillId="0" borderId="28" xfId="8" applyFont="1" applyBorder="1" applyAlignment="1">
      <alignment vertical="center"/>
    </xf>
    <xf numFmtId="0" fontId="12" fillId="0" borderId="29" xfId="8" applyFont="1" applyBorder="1" applyAlignment="1">
      <alignment vertical="center"/>
    </xf>
    <xf numFmtId="0" fontId="13" fillId="5" borderId="10" xfId="12" applyFont="1" applyFill="1" applyBorder="1" applyAlignment="1">
      <alignment horizontal="left" vertical="center"/>
    </xf>
    <xf numFmtId="4" fontId="28" fillId="0" borderId="6" xfId="19" applyNumberFormat="1" applyFont="1" applyFill="1" applyBorder="1" applyAlignment="1" applyProtection="1">
      <alignment horizontal="center" vertical="center" wrapText="1"/>
      <protection locked="0"/>
    </xf>
    <xf numFmtId="4" fontId="28" fillId="0" borderId="6" xfId="19" applyNumberFormat="1" applyFont="1" applyFill="1" applyBorder="1" applyAlignment="1" applyProtection="1">
      <alignment horizontal="center" vertical="center" wrapText="1"/>
    </xf>
    <xf numFmtId="0" fontId="28" fillId="0" borderId="6" xfId="0" applyFont="1" applyBorder="1" applyAlignment="1" applyProtection="1">
      <alignment horizontal="justify" vertical="center" wrapText="1"/>
      <protection hidden="1"/>
    </xf>
    <xf numFmtId="0" fontId="28" fillId="0" borderId="6" xfId="0" applyFont="1" applyBorder="1" applyAlignment="1" applyProtection="1">
      <alignment horizontal="center" vertical="center" wrapText="1"/>
      <protection hidden="1"/>
    </xf>
    <xf numFmtId="4" fontId="28" fillId="0" borderId="6" xfId="0" applyNumberFormat="1" applyFont="1" applyBorder="1" applyAlignment="1" applyProtection="1">
      <alignment horizontal="center" vertical="center" wrapText="1"/>
      <protection hidden="1"/>
    </xf>
    <xf numFmtId="169" fontId="29" fillId="6" borderId="30" xfId="6" applyFont="1" applyFill="1" applyBorder="1" applyAlignment="1" applyProtection="1">
      <alignment horizontal="center" vertical="center"/>
      <protection hidden="1"/>
    </xf>
    <xf numFmtId="169" fontId="33" fillId="7" borderId="19" xfId="6" applyFont="1" applyFill="1" applyBorder="1" applyAlignment="1" applyProtection="1">
      <alignment horizontal="center" vertical="center"/>
      <protection hidden="1"/>
    </xf>
    <xf numFmtId="0" fontId="29" fillId="0" borderId="5" xfId="0" applyFont="1" applyBorder="1" applyAlignment="1" applyProtection="1">
      <alignment horizontal="center" vertical="center" wrapText="1"/>
      <protection hidden="1"/>
    </xf>
    <xf numFmtId="4" fontId="14" fillId="8" borderId="6" xfId="12" applyNumberFormat="1" applyFont="1" applyFill="1" applyBorder="1" applyAlignment="1">
      <alignment horizontal="center" vertical="center" wrapText="1"/>
    </xf>
    <xf numFmtId="0" fontId="14" fillId="8" borderId="6" xfId="12" applyFont="1" applyFill="1" applyBorder="1" applyAlignment="1">
      <alignment horizontal="center" vertical="center"/>
    </xf>
    <xf numFmtId="0" fontId="29" fillId="0" borderId="7" xfId="0" applyFont="1" applyBorder="1" applyAlignment="1" applyProtection="1">
      <alignment vertical="center" wrapText="1"/>
      <protection hidden="1"/>
    </xf>
    <xf numFmtId="0" fontId="29" fillId="4" borderId="7" xfId="0" applyFont="1" applyFill="1" applyBorder="1" applyAlignment="1" applyProtection="1">
      <alignment horizontal="right" vertical="center" wrapText="1"/>
      <protection hidden="1"/>
    </xf>
    <xf numFmtId="0" fontId="29" fillId="0" borderId="7" xfId="0" applyFont="1" applyBorder="1" applyAlignment="1" applyProtection="1">
      <alignment horizontal="right" vertical="center" wrapText="1"/>
      <protection hidden="1"/>
    </xf>
    <xf numFmtId="164" fontId="29" fillId="0" borderId="9" xfId="19" applyFont="1" applyFill="1" applyBorder="1" applyAlignment="1" applyProtection="1">
      <alignment horizontal="center" vertical="center" wrapText="1"/>
      <protection hidden="1"/>
    </xf>
    <xf numFmtId="0" fontId="29" fillId="0" borderId="14" xfId="0" applyFont="1" applyBorder="1" applyAlignment="1" applyProtection="1">
      <alignment horizontal="center" vertical="center" wrapText="1"/>
      <protection hidden="1"/>
    </xf>
    <xf numFmtId="0" fontId="29" fillId="8" borderId="8" xfId="0" applyFont="1" applyFill="1" applyBorder="1" applyAlignment="1" applyProtection="1">
      <alignment horizontal="center" vertical="center"/>
      <protection hidden="1"/>
    </xf>
    <xf numFmtId="0" fontId="29" fillId="8" borderId="9" xfId="0" applyFont="1" applyFill="1" applyBorder="1" applyAlignment="1" applyProtection="1">
      <alignment horizontal="center" vertical="center"/>
      <protection hidden="1"/>
    </xf>
    <xf numFmtId="10" fontId="28" fillId="0" borderId="5" xfId="0" applyNumberFormat="1" applyFont="1" applyBorder="1" applyAlignment="1" applyProtection="1">
      <alignment horizontal="center" vertical="center"/>
      <protection hidden="1"/>
    </xf>
    <xf numFmtId="4" fontId="29" fillId="4" borderId="7" xfId="19" applyNumberFormat="1" applyFont="1" applyFill="1" applyBorder="1" applyAlignment="1" applyProtection="1">
      <alignment horizontal="center" vertical="center" wrapText="1"/>
      <protection hidden="1"/>
    </xf>
    <xf numFmtId="0" fontId="29" fillId="4" borderId="8" xfId="0" applyFont="1" applyFill="1" applyBorder="1" applyAlignment="1" applyProtection="1">
      <alignment vertical="center" wrapText="1"/>
      <protection hidden="1"/>
    </xf>
    <xf numFmtId="0" fontId="29" fillId="4" borderId="7" xfId="0" applyFont="1" applyFill="1" applyBorder="1" applyAlignment="1" applyProtection="1">
      <alignment vertical="center" wrapText="1"/>
      <protection hidden="1"/>
    </xf>
    <xf numFmtId="10" fontId="28" fillId="0" borderId="3" xfId="0" applyNumberFormat="1" applyFont="1" applyBorder="1" applyAlignment="1" applyProtection="1">
      <alignment horizontal="center" vertical="center"/>
      <protection hidden="1"/>
    </xf>
    <xf numFmtId="0" fontId="29" fillId="4" borderId="9" xfId="0" applyFont="1" applyFill="1" applyBorder="1" applyAlignment="1" applyProtection="1">
      <alignment horizontal="right" vertical="center"/>
      <protection hidden="1"/>
    </xf>
    <xf numFmtId="0" fontId="29" fillId="0" borderId="9" xfId="0" applyFont="1" applyBorder="1" applyAlignment="1" applyProtection="1">
      <alignment horizontal="right" vertical="center"/>
      <protection hidden="1"/>
    </xf>
    <xf numFmtId="0" fontId="29" fillId="0" borderId="3" xfId="0" applyFont="1" applyBorder="1" applyAlignment="1" applyProtection="1">
      <alignment vertical="center" wrapText="1"/>
      <protection hidden="1"/>
    </xf>
    <xf numFmtId="0" fontId="39" fillId="8" borderId="3" xfId="0" applyFont="1" applyFill="1" applyBorder="1" applyAlignment="1">
      <alignment horizontal="center" vertical="center" wrapText="1"/>
    </xf>
    <xf numFmtId="0" fontId="39" fillId="8" borderId="4" xfId="0" applyFont="1" applyFill="1" applyBorder="1" applyAlignment="1">
      <alignment horizontal="center" vertical="center"/>
    </xf>
    <xf numFmtId="0" fontId="40" fillId="8" borderId="4" xfId="0" applyFont="1" applyFill="1" applyBorder="1" applyAlignment="1">
      <alignment horizontal="center" vertical="top"/>
    </xf>
    <xf numFmtId="0" fontId="39" fillId="8" borderId="5" xfId="0" applyFont="1" applyFill="1" applyBorder="1" applyAlignment="1">
      <alignment horizontal="center" vertical="center"/>
    </xf>
    <xf numFmtId="10" fontId="24" fillId="0" borderId="6" xfId="0" applyNumberFormat="1" applyFont="1" applyBorder="1" applyAlignment="1">
      <alignment horizontal="center" vertical="center"/>
    </xf>
    <xf numFmtId="0" fontId="28" fillId="0" borderId="3" xfId="0" applyFont="1" applyBorder="1" applyAlignment="1" applyProtection="1">
      <alignment vertical="center" wrapText="1"/>
      <protection hidden="1"/>
    </xf>
    <xf numFmtId="10" fontId="24" fillId="4" borderId="6" xfId="0" applyNumberFormat="1" applyFont="1" applyFill="1" applyBorder="1" applyAlignment="1">
      <alignment horizontal="center" vertical="center"/>
    </xf>
    <xf numFmtId="39" fontId="29" fillId="4" borderId="9" xfId="20" applyNumberFormat="1" applyFont="1" applyFill="1" applyBorder="1" applyAlignment="1" applyProtection="1">
      <alignment horizontal="center" vertical="center" wrapText="1"/>
      <protection locked="0"/>
    </xf>
    <xf numFmtId="0" fontId="29" fillId="4" borderId="6" xfId="12" applyFont="1" applyFill="1" applyBorder="1" applyAlignment="1" applyProtection="1">
      <alignment horizontal="center" vertical="center" wrapText="1"/>
      <protection hidden="1"/>
    </xf>
    <xf numFmtId="4" fontId="29" fillId="4" borderId="6" xfId="12" applyNumberFormat="1" applyFont="1" applyFill="1" applyBorder="1" applyAlignment="1" applyProtection="1">
      <alignment horizontal="center" vertical="center" wrapText="1"/>
      <protection hidden="1"/>
    </xf>
    <xf numFmtId="10" fontId="29" fillId="4" borderId="6" xfId="12" applyNumberFormat="1" applyFont="1" applyFill="1" applyBorder="1" applyAlignment="1" applyProtection="1">
      <alignment horizontal="center" vertical="center" wrapText="1"/>
      <protection hidden="1"/>
    </xf>
    <xf numFmtId="0" fontId="28" fillId="0" borderId="0" xfId="12" applyFont="1" applyAlignment="1" applyProtection="1">
      <alignment vertical="center" wrapText="1"/>
      <protection hidden="1"/>
    </xf>
    <xf numFmtId="10" fontId="29" fillId="4" borderId="15" xfId="12" applyNumberFormat="1" applyFont="1" applyFill="1" applyBorder="1" applyAlignment="1" applyProtection="1">
      <alignment horizontal="center" vertical="top" wrapText="1"/>
      <protection hidden="1"/>
    </xf>
    <xf numFmtId="10" fontId="28" fillId="4" borderId="14" xfId="12" applyNumberFormat="1" applyFont="1" applyFill="1" applyBorder="1" applyAlignment="1" applyProtection="1">
      <alignment horizontal="center"/>
      <protection hidden="1"/>
    </xf>
    <xf numFmtId="0" fontId="36" fillId="0" borderId="0" xfId="0" applyFont="1" applyAlignment="1">
      <alignment vertical="center"/>
    </xf>
    <xf numFmtId="172" fontId="29" fillId="0" borderId="16" xfId="12" applyNumberFormat="1" applyFont="1" applyBorder="1" applyAlignment="1" applyProtection="1">
      <alignment horizontal="center" vertical="center"/>
      <protection locked="0"/>
    </xf>
    <xf numFmtId="0" fontId="4" fillId="0" borderId="0" xfId="0" applyFont="1" applyAlignment="1">
      <alignment horizontal="right"/>
    </xf>
    <xf numFmtId="0" fontId="8" fillId="0" borderId="0" xfId="0" applyFont="1" applyAlignment="1">
      <alignment horizontal="right"/>
    </xf>
    <xf numFmtId="10" fontId="4" fillId="0" borderId="0" xfId="0" applyNumberFormat="1" applyFont="1" applyAlignment="1">
      <alignment horizontal="left"/>
    </xf>
    <xf numFmtId="0" fontId="28" fillId="0" borderId="13" xfId="8" applyFont="1" applyBorder="1" applyAlignment="1">
      <alignment horizontal="center" vertical="center"/>
    </xf>
    <xf numFmtId="10" fontId="28" fillId="0" borderId="13" xfId="8" applyNumberFormat="1" applyFont="1" applyBorder="1" applyAlignment="1" applyProtection="1">
      <alignment horizontal="center" vertical="center"/>
      <protection hidden="1"/>
    </xf>
    <xf numFmtId="0" fontId="13" fillId="5" borderId="14" xfId="12" applyFont="1" applyFill="1" applyBorder="1" applyAlignment="1">
      <alignment horizontal="left" vertical="center"/>
    </xf>
    <xf numFmtId="14" fontId="9" fillId="0" borderId="18" xfId="12" applyNumberFormat="1" applyFont="1" applyBorder="1" applyAlignment="1">
      <alignment horizontal="center" vertical="center"/>
    </xf>
    <xf numFmtId="0" fontId="29" fillId="0" borderId="6" xfId="12" applyFont="1" applyBorder="1" applyAlignment="1" applyProtection="1">
      <alignment horizontal="center" vertical="center" wrapText="1"/>
      <protection locked="0"/>
    </xf>
    <xf numFmtId="39" fontId="29" fillId="2" borderId="14" xfId="20" applyNumberFormat="1" applyFont="1" applyFill="1" applyBorder="1" applyAlignment="1" applyProtection="1">
      <alignment horizontal="center" vertical="center" wrapText="1"/>
      <protection locked="0"/>
    </xf>
    <xf numFmtId="39" fontId="29" fillId="2" borderId="6" xfId="20" applyNumberFormat="1" applyFont="1" applyFill="1" applyBorder="1" applyAlignment="1" applyProtection="1">
      <alignment horizontal="center" vertical="center" wrapText="1"/>
      <protection locked="0"/>
    </xf>
    <xf numFmtId="164" fontId="29" fillId="0" borderId="6" xfId="20" applyFont="1" applyBorder="1" applyAlignment="1" applyProtection="1">
      <alignment horizontal="center" vertical="center" wrapText="1"/>
      <protection locked="0"/>
    </xf>
    <xf numFmtId="2" fontId="29" fillId="0" borderId="7" xfId="0" applyNumberFormat="1" applyFont="1" applyBorder="1" applyAlignment="1" applyProtection="1">
      <alignment horizontal="center" vertical="center"/>
      <protection hidden="1"/>
    </xf>
    <xf numFmtId="0" fontId="29" fillId="0" borderId="7" xfId="0" applyFont="1" applyBorder="1" applyAlignment="1">
      <alignment horizontal="center" vertical="center"/>
    </xf>
    <xf numFmtId="0" fontId="29" fillId="0" borderId="7" xfId="0" applyFont="1" applyBorder="1" applyAlignment="1" applyProtection="1">
      <alignment horizontal="justify" vertical="center" wrapText="1"/>
      <protection hidden="1"/>
    </xf>
    <xf numFmtId="4" fontId="29" fillId="0" borderId="7" xfId="0" applyNumberFormat="1" applyFont="1" applyBorder="1" applyAlignment="1">
      <alignment horizontal="center" vertical="center" wrapText="1"/>
    </xf>
    <xf numFmtId="173" fontId="29" fillId="4" borderId="6" xfId="0" applyNumberFormat="1" applyFont="1" applyFill="1" applyBorder="1" applyAlignment="1">
      <alignment horizontal="center" vertical="center" wrapText="1"/>
    </xf>
    <xf numFmtId="173" fontId="28" fillId="0" borderId="9" xfId="19" applyNumberFormat="1" applyFont="1" applyFill="1" applyBorder="1" applyAlignment="1" applyProtection="1">
      <alignment horizontal="center" vertical="center" wrapText="1"/>
    </xf>
    <xf numFmtId="173" fontId="29" fillId="5" borderId="6" xfId="0" applyNumberFormat="1" applyFont="1" applyFill="1" applyBorder="1" applyAlignment="1">
      <alignment horizontal="center" vertical="center" wrapText="1"/>
    </xf>
    <xf numFmtId="173" fontId="28" fillId="0" borderId="6" xfId="19" applyNumberFormat="1" applyFont="1" applyFill="1" applyBorder="1" applyAlignment="1" applyProtection="1">
      <alignment horizontal="center" vertical="center" wrapText="1"/>
    </xf>
    <xf numFmtId="173" fontId="29" fillId="0" borderId="9" xfId="0" applyNumberFormat="1" applyFont="1" applyBorder="1" applyAlignment="1">
      <alignment horizontal="center" vertical="center" wrapText="1"/>
    </xf>
    <xf numFmtId="0" fontId="28" fillId="0" borderId="4" xfId="0" applyFont="1" applyBorder="1" applyAlignment="1" applyProtection="1">
      <alignment vertical="center" wrapText="1"/>
      <protection hidden="1"/>
    </xf>
    <xf numFmtId="0" fontId="29" fillId="8" borderId="14" xfId="0" applyFont="1" applyFill="1" applyBorder="1" applyAlignment="1" applyProtection="1">
      <alignment horizontal="left" vertical="center"/>
      <protection hidden="1"/>
    </xf>
    <xf numFmtId="0" fontId="28" fillId="0" borderId="8" xfId="0" applyFont="1" applyBorder="1" applyAlignment="1" applyProtection="1">
      <alignment horizontal="justify" vertical="center" wrapText="1"/>
      <protection hidden="1"/>
    </xf>
    <xf numFmtId="0" fontId="29" fillId="0" borderId="8" xfId="0" applyFont="1" applyBorder="1" applyAlignment="1" applyProtection="1">
      <alignment horizontal="justify" vertical="center" wrapText="1"/>
      <protection hidden="1"/>
    </xf>
    <xf numFmtId="0" fontId="28" fillId="0" borderId="21" xfId="0" applyFont="1" applyBorder="1" applyAlignment="1">
      <alignment vertical="center" wrapText="1"/>
    </xf>
    <xf numFmtId="0" fontId="28" fillId="0" borderId="4" xfId="0" applyFont="1" applyBorder="1" applyAlignment="1">
      <alignment horizontal="left" vertical="center"/>
    </xf>
    <xf numFmtId="0" fontId="28" fillId="0" borderId="8" xfId="12" applyFont="1" applyBorder="1" applyAlignment="1" applyProtection="1">
      <alignment horizontal="center" vertical="center" wrapText="1"/>
      <protection locked="0"/>
    </xf>
    <xf numFmtId="0" fontId="28" fillId="0" borderId="7" xfId="12" applyFont="1" applyBorder="1" applyAlignment="1" applyProtection="1">
      <alignment horizontal="center" vertical="center" wrapText="1"/>
      <protection locked="0"/>
    </xf>
    <xf numFmtId="164" fontId="28" fillId="0" borderId="7" xfId="16" applyFont="1" applyFill="1" applyBorder="1" applyAlignment="1" applyProtection="1">
      <alignment horizontal="center" vertical="center" wrapText="1"/>
      <protection locked="0"/>
    </xf>
    <xf numFmtId="4" fontId="29" fillId="0" borderId="9" xfId="12" applyNumberFormat="1" applyFont="1" applyBorder="1" applyAlignment="1" applyProtection="1">
      <alignment horizontal="center" vertical="center"/>
      <protection locked="0"/>
    </xf>
    <xf numFmtId="0" fontId="29" fillId="0" borderId="0" xfId="12" applyFont="1" applyAlignment="1" applyProtection="1">
      <alignment horizontal="center" vertical="center"/>
      <protection locked="0"/>
    </xf>
    <xf numFmtId="0" fontId="24" fillId="0" borderId="0" xfId="0" applyFont="1" applyAlignment="1" applyProtection="1">
      <alignment horizontal="center"/>
      <protection locked="0"/>
    </xf>
    <xf numFmtId="9" fontId="29" fillId="0" borderId="0" xfId="12" applyNumberFormat="1" applyFont="1" applyAlignment="1" applyProtection="1">
      <alignment horizontal="center" vertical="center"/>
      <protection locked="0"/>
    </xf>
    <xf numFmtId="10" fontId="28" fillId="3" borderId="6" xfId="15"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10" fontId="0" fillId="0" borderId="8" xfId="0" applyNumberFormat="1" applyBorder="1" applyAlignment="1">
      <alignment horizontal="center" vertical="center"/>
    </xf>
    <xf numFmtId="10" fontId="0" fillId="0" borderId="6" xfId="0" applyNumberFormat="1" applyBorder="1" applyAlignment="1">
      <alignment horizontal="center" vertical="center"/>
    </xf>
    <xf numFmtId="0" fontId="24" fillId="0" borderId="3" xfId="0" applyFont="1" applyBorder="1" applyAlignment="1">
      <alignment horizontal="center" vertical="center" wrapText="1"/>
    </xf>
    <xf numFmtId="0" fontId="24" fillId="0" borderId="9" xfId="0" applyFont="1" applyBorder="1" applyAlignment="1">
      <alignment vertical="center" wrapText="1"/>
    </xf>
    <xf numFmtId="0" fontId="43" fillId="0" borderId="0" xfId="0" applyFont="1" applyAlignment="1">
      <alignment vertical="center"/>
    </xf>
    <xf numFmtId="0" fontId="44" fillId="0" borderId="0" xfId="12" applyFont="1" applyAlignment="1">
      <alignment horizontal="center" vertical="center"/>
    </xf>
    <xf numFmtId="0" fontId="0" fillId="0" borderId="7" xfId="0" applyBorder="1"/>
    <xf numFmtId="4" fontId="28" fillId="0" borderId="7" xfId="19" applyNumberFormat="1" applyFont="1" applyFill="1" applyBorder="1" applyAlignment="1" applyProtection="1">
      <alignment horizontal="center" vertical="center" wrapText="1"/>
      <protection locked="0"/>
    </xf>
    <xf numFmtId="0" fontId="0" fillId="0" borderId="22" xfId="0" applyBorder="1"/>
    <xf numFmtId="0" fontId="0" fillId="0" borderId="1" xfId="0" applyBorder="1"/>
    <xf numFmtId="0" fontId="29" fillId="0" borderId="22" xfId="0" applyFont="1" applyBorder="1" applyAlignment="1" applyProtection="1">
      <alignment vertical="center" wrapText="1"/>
      <protection hidden="1"/>
    </xf>
    <xf numFmtId="4" fontId="9" fillId="0" borderId="6" xfId="12" applyNumberFormat="1" applyFont="1" applyBorder="1" applyAlignment="1">
      <alignment horizontal="justify" vertical="center" wrapText="1"/>
    </xf>
    <xf numFmtId="0" fontId="28" fillId="0" borderId="6" xfId="0" applyFont="1" applyBorder="1" applyAlignment="1">
      <alignment horizontal="center" vertical="center"/>
    </xf>
    <xf numFmtId="0" fontId="29" fillId="8" borderId="6" xfId="0" applyFont="1" applyFill="1" applyBorder="1" applyAlignment="1">
      <alignment horizontal="center" vertical="center"/>
    </xf>
    <xf numFmtId="0" fontId="28" fillId="0" borderId="8" xfId="0" applyFont="1" applyBorder="1" applyAlignment="1">
      <alignment horizontal="center" vertical="center"/>
    </xf>
    <xf numFmtId="0" fontId="29" fillId="8" borderId="6" xfId="0" applyFont="1" applyFill="1" applyBorder="1" applyAlignment="1" applyProtection="1">
      <alignment horizontal="center" vertical="center" wrapText="1"/>
      <protection hidden="1"/>
    </xf>
    <xf numFmtId="0" fontId="28" fillId="10" borderId="15" xfId="0" applyFont="1" applyFill="1" applyBorder="1" applyAlignment="1" applyProtection="1">
      <alignment horizontal="center" vertical="center"/>
      <protection hidden="1"/>
    </xf>
    <xf numFmtId="0" fontId="29" fillId="10" borderId="14" xfId="0" applyFont="1" applyFill="1" applyBorder="1" applyAlignment="1" applyProtection="1">
      <alignment horizontal="center" vertical="center" wrapText="1"/>
      <protection hidden="1"/>
    </xf>
    <xf numFmtId="17" fontId="28" fillId="10" borderId="15" xfId="0" applyNumberFormat="1" applyFont="1" applyFill="1" applyBorder="1" applyAlignment="1" applyProtection="1">
      <alignment horizontal="center" vertical="center"/>
      <protection hidden="1"/>
    </xf>
    <xf numFmtId="17" fontId="28" fillId="10" borderId="6" xfId="0" applyNumberFormat="1" applyFont="1" applyFill="1" applyBorder="1" applyAlignment="1" applyProtection="1">
      <alignment horizontal="center" vertical="center" wrapText="1"/>
      <protection hidden="1"/>
    </xf>
    <xf numFmtId="0" fontId="28" fillId="0" borderId="2" xfId="0" applyFont="1" applyBorder="1" applyAlignment="1" applyProtection="1">
      <alignment vertical="center" wrapText="1"/>
      <protection hidden="1"/>
    </xf>
    <xf numFmtId="0" fontId="0" fillId="0" borderId="9" xfId="0" applyBorder="1"/>
    <xf numFmtId="10" fontId="29" fillId="0" borderId="0" xfId="12" applyNumberFormat="1" applyFont="1" applyAlignment="1" applyProtection="1">
      <alignment horizontal="center" vertical="center"/>
      <protection locked="0"/>
    </xf>
    <xf numFmtId="4" fontId="28" fillId="0" borderId="0" xfId="0" applyNumberFormat="1" applyFont="1" applyAlignment="1" applyProtection="1">
      <alignment vertical="center" wrapText="1"/>
      <protection hidden="1"/>
    </xf>
    <xf numFmtId="4" fontId="28" fillId="0" borderId="0" xfId="0" applyNumberFormat="1" applyFont="1" applyAlignment="1" applyProtection="1">
      <alignment vertical="center"/>
      <protection hidden="1"/>
    </xf>
    <xf numFmtId="0" fontId="28" fillId="4" borderId="8" xfId="0" applyFont="1" applyFill="1" applyBorder="1" applyAlignment="1" applyProtection="1">
      <alignment vertical="top" wrapText="1"/>
      <protection hidden="1"/>
    </xf>
    <xf numFmtId="0" fontId="28" fillId="4" borderId="7" xfId="0" applyFont="1" applyFill="1" applyBorder="1" applyAlignment="1" applyProtection="1">
      <alignment vertical="top" wrapText="1"/>
      <protection hidden="1"/>
    </xf>
    <xf numFmtId="1" fontId="28" fillId="4" borderId="7" xfId="0" applyNumberFormat="1" applyFont="1" applyFill="1" applyBorder="1" applyAlignment="1" applyProtection="1">
      <alignment vertical="top" wrapText="1"/>
      <protection hidden="1"/>
    </xf>
    <xf numFmtId="0" fontId="28" fillId="4" borderId="21" xfId="0" applyFont="1" applyFill="1" applyBorder="1" applyAlignment="1" applyProtection="1">
      <alignment vertical="top" wrapText="1"/>
      <protection hidden="1"/>
    </xf>
    <xf numFmtId="4" fontId="28" fillId="4" borderId="21" xfId="0" applyNumberFormat="1" applyFont="1" applyFill="1" applyBorder="1" applyAlignment="1" applyProtection="1">
      <alignment horizontal="center" vertical="top" wrapText="1"/>
      <protection hidden="1"/>
    </xf>
    <xf numFmtId="0" fontId="28" fillId="4" borderId="7" xfId="0" applyFont="1" applyFill="1" applyBorder="1" applyAlignment="1" applyProtection="1">
      <alignment horizontal="left" vertical="top" wrapText="1"/>
      <protection hidden="1"/>
    </xf>
    <xf numFmtId="0" fontId="28" fillId="4" borderId="9" xfId="0" applyFont="1" applyFill="1" applyBorder="1" applyAlignment="1" applyProtection="1">
      <alignment vertical="top" wrapText="1"/>
      <protection hidden="1"/>
    </xf>
    <xf numFmtId="0" fontId="28" fillId="0" borderId="0" xfId="0" applyFont="1" applyAlignment="1" applyProtection="1">
      <alignment vertical="top"/>
      <protection hidden="1"/>
    </xf>
    <xf numFmtId="0" fontId="26" fillId="0" borderId="0" xfId="0" applyFont="1" applyAlignment="1">
      <alignment vertical="top"/>
    </xf>
    <xf numFmtId="0" fontId="30" fillId="5" borderId="6" xfId="0" applyFont="1" applyFill="1" applyBorder="1" applyAlignment="1" applyProtection="1">
      <alignment horizontal="center" vertical="top"/>
      <protection hidden="1"/>
    </xf>
    <xf numFmtId="0" fontId="30" fillId="5" borderId="8" xfId="0" applyFont="1" applyFill="1" applyBorder="1" applyAlignment="1" applyProtection="1">
      <alignment horizontal="center" vertical="top"/>
      <protection hidden="1"/>
    </xf>
    <xf numFmtId="1" fontId="30" fillId="5" borderId="8" xfId="0" applyNumberFormat="1" applyFont="1" applyFill="1" applyBorder="1" applyAlignment="1" applyProtection="1">
      <alignment horizontal="center" vertical="top"/>
      <protection hidden="1"/>
    </xf>
    <xf numFmtId="0" fontId="30" fillId="5" borderId="8" xfId="0" applyFont="1" applyFill="1" applyBorder="1" applyAlignment="1" applyProtection="1">
      <alignment horizontal="justify" vertical="top" wrapText="1"/>
      <protection hidden="1"/>
    </xf>
    <xf numFmtId="0" fontId="30" fillId="5" borderId="7" xfId="0" applyFont="1" applyFill="1" applyBorder="1" applyAlignment="1" applyProtection="1">
      <alignment horizontal="center" vertical="top"/>
      <protection hidden="1"/>
    </xf>
    <xf numFmtId="4" fontId="27" fillId="5" borderId="7" xfId="0" applyNumberFormat="1" applyFont="1" applyFill="1" applyBorder="1" applyAlignment="1">
      <alignment horizontal="center" vertical="top"/>
    </xf>
    <xf numFmtId="4" fontId="26" fillId="5" borderId="7" xfId="0" applyNumberFormat="1" applyFont="1" applyFill="1" applyBorder="1" applyAlignment="1">
      <alignment horizontal="center" vertical="top"/>
    </xf>
    <xf numFmtId="4" fontId="26" fillId="5" borderId="9" xfId="0" applyNumberFormat="1" applyFont="1" applyFill="1" applyBorder="1" applyAlignment="1">
      <alignment horizontal="center" vertical="top"/>
    </xf>
    <xf numFmtId="0" fontId="0" fillId="0" borderId="0" xfId="0" applyAlignment="1">
      <alignment horizontal="center" vertical="top"/>
    </xf>
    <xf numFmtId="0" fontId="25" fillId="0" borderId="0" xfId="0" applyFont="1" applyAlignment="1">
      <alignment vertical="top"/>
    </xf>
    <xf numFmtId="0" fontId="30" fillId="4" borderId="6" xfId="0" applyFont="1" applyFill="1" applyBorder="1" applyAlignment="1" applyProtection="1">
      <alignment horizontal="center" vertical="top"/>
      <protection hidden="1"/>
    </xf>
    <xf numFmtId="0" fontId="30" fillId="4" borderId="8" xfId="0" applyFont="1" applyFill="1" applyBorder="1" applyAlignment="1" applyProtection="1">
      <alignment horizontal="center" vertical="top"/>
      <protection hidden="1"/>
    </xf>
    <xf numFmtId="1" fontId="30" fillId="4" borderId="8" xfId="0" applyNumberFormat="1" applyFont="1" applyFill="1" applyBorder="1" applyAlignment="1" applyProtection="1">
      <alignment horizontal="center" vertical="top"/>
      <protection hidden="1"/>
    </xf>
    <xf numFmtId="0" fontId="30" fillId="4" borderId="8" xfId="0" applyFont="1" applyFill="1" applyBorder="1" applyAlignment="1" applyProtection="1">
      <alignment horizontal="justify" vertical="top" wrapText="1"/>
      <protection hidden="1"/>
    </xf>
    <xf numFmtId="0" fontId="30" fillId="4" borderId="21" xfId="0" applyFont="1" applyFill="1" applyBorder="1" applyAlignment="1" applyProtection="1">
      <alignment horizontal="center" vertical="top"/>
      <protection hidden="1"/>
    </xf>
    <xf numFmtId="4" fontId="27" fillId="4" borderId="21" xfId="0" applyNumberFormat="1" applyFont="1" applyFill="1" applyBorder="1" applyAlignment="1">
      <alignment horizontal="center" vertical="top"/>
    </xf>
    <xf numFmtId="4" fontId="25" fillId="4" borderId="21" xfId="0" applyNumberFormat="1" applyFont="1" applyFill="1" applyBorder="1" applyAlignment="1">
      <alignment horizontal="center" vertical="top"/>
    </xf>
    <xf numFmtId="4" fontId="25" fillId="4" borderId="10" xfId="0" applyNumberFormat="1" applyFont="1" applyFill="1" applyBorder="1" applyAlignment="1">
      <alignment horizontal="center" vertical="top"/>
    </xf>
    <xf numFmtId="0" fontId="25" fillId="0" borderId="8" xfId="0" applyFont="1" applyBorder="1" applyAlignment="1">
      <alignment horizontal="center" vertical="top"/>
    </xf>
    <xf numFmtId="0" fontId="25" fillId="0" borderId="7" xfId="0" applyFont="1" applyBorder="1" applyAlignment="1">
      <alignment horizontal="center" vertical="top"/>
    </xf>
    <xf numFmtId="1" fontId="25" fillId="0" borderId="7" xfId="0" applyNumberFormat="1" applyFont="1" applyBorder="1" applyAlignment="1">
      <alignment horizontal="center" vertical="top"/>
    </xf>
    <xf numFmtId="0" fontId="25" fillId="0" borderId="7" xfId="0" applyFont="1" applyBorder="1" applyAlignment="1">
      <alignment vertical="top" wrapText="1"/>
    </xf>
    <xf numFmtId="4" fontId="27" fillId="0" borderId="7" xfId="0" applyNumberFormat="1" applyFont="1" applyBorder="1" applyAlignment="1">
      <alignment horizontal="center" vertical="top"/>
    </xf>
    <xf numFmtId="4" fontId="25" fillId="0" borderId="7" xfId="0" applyNumberFormat="1" applyFont="1" applyBorder="1" applyAlignment="1">
      <alignment horizontal="center" vertical="top"/>
    </xf>
    <xf numFmtId="4" fontId="25" fillId="0" borderId="7" xfId="0" applyNumberFormat="1" applyFont="1" applyBorder="1" applyAlignment="1">
      <alignment horizontal="left" vertical="top"/>
    </xf>
    <xf numFmtId="4" fontId="25" fillId="0" borderId="9" xfId="0" applyNumberFormat="1" applyFont="1" applyBorder="1" applyAlignment="1">
      <alignment horizontal="center" vertical="top"/>
    </xf>
    <xf numFmtId="0" fontId="30" fillId="4" borderId="7" xfId="0" applyFont="1" applyFill="1" applyBorder="1" applyAlignment="1" applyProtection="1">
      <alignment horizontal="center" vertical="top"/>
      <protection hidden="1"/>
    </xf>
    <xf numFmtId="4" fontId="27" fillId="4" borderId="7" xfId="0" applyNumberFormat="1" applyFont="1" applyFill="1" applyBorder="1" applyAlignment="1">
      <alignment horizontal="center" vertical="top"/>
    </xf>
    <xf numFmtId="4" fontId="25" fillId="4" borderId="7" xfId="0" applyNumberFormat="1" applyFont="1" applyFill="1" applyBorder="1" applyAlignment="1">
      <alignment horizontal="center" vertical="top"/>
    </xf>
    <xf numFmtId="4" fontId="25" fillId="4" borderId="9" xfId="0" applyNumberFormat="1" applyFont="1" applyFill="1" applyBorder="1" applyAlignment="1">
      <alignment horizontal="center" vertical="top"/>
    </xf>
    <xf numFmtId="4" fontId="18" fillId="5" borderId="7" xfId="0" applyNumberFormat="1" applyFont="1" applyFill="1" applyBorder="1" applyAlignment="1">
      <alignment horizontal="center" vertical="top"/>
    </xf>
    <xf numFmtId="4" fontId="18" fillId="4" borderId="7" xfId="0" applyNumberFormat="1" applyFont="1" applyFill="1" applyBorder="1" applyAlignment="1">
      <alignment horizontal="center" vertical="top"/>
    </xf>
    <xf numFmtId="0" fontId="25" fillId="0" borderId="0" xfId="0" applyFont="1" applyAlignment="1">
      <alignment horizontal="center" vertical="top"/>
    </xf>
    <xf numFmtId="1" fontId="25" fillId="0" borderId="0" xfId="0" applyNumberFormat="1" applyFont="1" applyAlignment="1">
      <alignment horizontal="center" vertical="top"/>
    </xf>
    <xf numFmtId="0" fontId="0" fillId="0" borderId="0" xfId="0" applyAlignment="1">
      <alignment vertical="top" wrapText="1"/>
    </xf>
    <xf numFmtId="4" fontId="27" fillId="0" borderId="0" xfId="0" applyNumberFormat="1" applyFont="1" applyAlignment="1">
      <alignment horizontal="center" vertical="top"/>
    </xf>
    <xf numFmtId="4" fontId="25" fillId="0" borderId="0" xfId="0" applyNumberFormat="1" applyFont="1" applyAlignment="1">
      <alignment horizontal="center" vertical="top"/>
    </xf>
    <xf numFmtId="4" fontId="25" fillId="0" borderId="0" xfId="0" applyNumberFormat="1" applyFont="1" applyAlignment="1">
      <alignment horizontal="left" vertical="top"/>
    </xf>
    <xf numFmtId="0" fontId="41" fillId="0" borderId="14" xfId="0" applyFont="1" applyBorder="1" applyAlignment="1" applyProtection="1">
      <alignment horizontal="center" vertical="top"/>
      <protection hidden="1"/>
    </xf>
    <xf numFmtId="1" fontId="41" fillId="0" borderId="14" xfId="0" applyNumberFormat="1" applyFont="1" applyBorder="1" applyAlignment="1" applyProtection="1">
      <alignment horizontal="center" vertical="top"/>
      <protection hidden="1"/>
    </xf>
    <xf numFmtId="0" fontId="25" fillId="0" borderId="14" xfId="0" applyFont="1" applyBorder="1" applyAlignment="1">
      <alignment horizontal="justify" vertical="top" wrapText="1"/>
    </xf>
    <xf numFmtId="0" fontId="25" fillId="0" borderId="22" xfId="0" applyFont="1" applyBorder="1" applyAlignment="1">
      <alignment horizontal="center" vertical="top"/>
    </xf>
    <xf numFmtId="4" fontId="26" fillId="0" borderId="22" xfId="0" applyNumberFormat="1" applyFont="1" applyBorder="1" applyAlignment="1">
      <alignment horizontal="center" vertical="top"/>
    </xf>
    <xf numFmtId="4" fontId="25" fillId="0" borderId="10" xfId="0" applyNumberFormat="1" applyFont="1" applyBorder="1" applyAlignment="1">
      <alignment horizontal="center" vertical="top"/>
    </xf>
    <xf numFmtId="4" fontId="25" fillId="0" borderId="14" xfId="0" applyNumberFormat="1" applyFont="1" applyBorder="1" applyAlignment="1">
      <alignment horizontal="center" vertical="top"/>
    </xf>
    <xf numFmtId="4" fontId="26" fillId="0" borderId="14" xfId="0" applyNumberFormat="1" applyFont="1" applyBorder="1" applyAlignment="1">
      <alignment horizontal="center" vertical="top"/>
    </xf>
    <xf numFmtId="0" fontId="26" fillId="0" borderId="31" xfId="0" applyFont="1" applyBorder="1" applyAlignment="1">
      <alignment horizontal="center" vertical="top"/>
    </xf>
    <xf numFmtId="1" fontId="26" fillId="0" borderId="31" xfId="0" applyNumberFormat="1" applyFont="1" applyBorder="1" applyAlignment="1">
      <alignment horizontal="center" vertical="top"/>
    </xf>
    <xf numFmtId="0" fontId="42" fillId="0" borderId="31" xfId="0" applyFont="1" applyBorder="1" applyAlignment="1">
      <alignment horizontal="right" vertical="top" wrapText="1"/>
    </xf>
    <xf numFmtId="0" fontId="25" fillId="0" borderId="1" xfId="0" applyFont="1" applyBorder="1" applyAlignment="1">
      <alignment horizontal="center" vertical="top"/>
    </xf>
    <xf numFmtId="4" fontId="25" fillId="0" borderId="1" xfId="0" applyNumberFormat="1" applyFont="1" applyBorder="1" applyAlignment="1">
      <alignment horizontal="center" vertical="top"/>
    </xf>
    <xf numFmtId="4" fontId="25" fillId="0" borderId="2" xfId="0" applyNumberFormat="1" applyFont="1" applyBorder="1" applyAlignment="1">
      <alignment horizontal="center" vertical="top"/>
    </xf>
    <xf numFmtId="4" fontId="25" fillId="0" borderId="31" xfId="0" applyNumberFormat="1" applyFont="1" applyBorder="1" applyAlignment="1">
      <alignment horizontal="center" vertical="top"/>
    </xf>
    <xf numFmtId="0" fontId="26" fillId="0" borderId="15" xfId="0" applyFont="1" applyBorder="1" applyAlignment="1">
      <alignment horizontal="center" vertical="top"/>
    </xf>
    <xf numFmtId="1" fontId="26" fillId="0" borderId="15" xfId="0" applyNumberFormat="1" applyFont="1" applyBorder="1" applyAlignment="1">
      <alignment horizontal="center" vertical="top"/>
    </xf>
    <xf numFmtId="0" fontId="42" fillId="0" borderId="15" xfId="0" applyFont="1" applyBorder="1" applyAlignment="1">
      <alignment horizontal="right" vertical="top" wrapText="1"/>
    </xf>
    <xf numFmtId="0" fontId="25" fillId="0" borderId="3" xfId="0" applyFont="1" applyBorder="1" applyAlignment="1">
      <alignment horizontal="center" vertical="top"/>
    </xf>
    <xf numFmtId="4" fontId="25" fillId="0" borderId="3" xfId="0" applyNumberFormat="1" applyFont="1" applyBorder="1" applyAlignment="1">
      <alignment horizontal="center" vertical="top"/>
    </xf>
    <xf numFmtId="4" fontId="25" fillId="0" borderId="5" xfId="0" applyNumberFormat="1" applyFont="1" applyBorder="1" applyAlignment="1">
      <alignment horizontal="center" vertical="top"/>
    </xf>
    <xf numFmtId="4" fontId="25" fillId="0" borderId="15" xfId="0" applyNumberFormat="1" applyFont="1" applyBorder="1" applyAlignment="1">
      <alignment horizontal="center" vertical="top"/>
    </xf>
    <xf numFmtId="0" fontId="25" fillId="0" borderId="31" xfId="0" applyFont="1" applyBorder="1" applyAlignment="1">
      <alignment horizontal="center" vertical="top"/>
    </xf>
    <xf numFmtId="0" fontId="25" fillId="0" borderId="15" xfId="0" applyFont="1" applyBorder="1" applyAlignment="1">
      <alignment horizontal="center" vertical="top"/>
    </xf>
    <xf numFmtId="4" fontId="17" fillId="0" borderId="1" xfId="0" applyNumberFormat="1" applyFont="1" applyBorder="1" applyAlignment="1">
      <alignment horizontal="center" vertical="top"/>
    </xf>
    <xf numFmtId="4" fontId="17" fillId="0" borderId="3" xfId="0" applyNumberFormat="1" applyFont="1" applyBorder="1" applyAlignment="1">
      <alignment horizontal="center" vertical="top"/>
    </xf>
    <xf numFmtId="4" fontId="17" fillId="0" borderId="22" xfId="0" applyNumberFormat="1" applyFont="1" applyBorder="1" applyAlignment="1">
      <alignment horizontal="center" vertical="top"/>
    </xf>
    <xf numFmtId="0" fontId="16" fillId="0" borderId="31" xfId="0" applyFont="1" applyBorder="1" applyAlignment="1">
      <alignment horizontal="center" vertical="top"/>
    </xf>
    <xf numFmtId="1" fontId="16" fillId="0" borderId="31" xfId="0" applyNumberFormat="1" applyFont="1" applyBorder="1" applyAlignment="1">
      <alignment horizontal="center" vertical="top"/>
    </xf>
    <xf numFmtId="0" fontId="16" fillId="0" borderId="15" xfId="0" applyFont="1" applyBorder="1" applyAlignment="1">
      <alignment horizontal="center" vertical="top"/>
    </xf>
    <xf numFmtId="1" fontId="16" fillId="0" borderId="15" xfId="0" applyNumberFormat="1" applyFont="1" applyBorder="1" applyAlignment="1">
      <alignment horizontal="center" vertical="top"/>
    </xf>
    <xf numFmtId="0" fontId="25" fillId="0" borderId="14" xfId="0" applyFont="1" applyBorder="1" applyAlignment="1">
      <alignment horizontal="center" vertical="top"/>
    </xf>
    <xf numFmtId="0" fontId="46" fillId="0" borderId="15" xfId="0" applyFont="1" applyBorder="1" applyAlignment="1">
      <alignment horizontal="center" vertical="top"/>
    </xf>
    <xf numFmtId="1" fontId="46" fillId="0" borderId="15" xfId="0" applyNumberFormat="1" applyFont="1" applyBorder="1" applyAlignment="1">
      <alignment horizontal="center" vertical="top"/>
    </xf>
    <xf numFmtId="0" fontId="9" fillId="0" borderId="64" xfId="12" applyFont="1" applyBorder="1" applyAlignment="1">
      <alignment horizontal="center" vertical="center"/>
    </xf>
    <xf numFmtId="0" fontId="28" fillId="0" borderId="9" xfId="0" applyFont="1" applyBorder="1" applyAlignment="1" applyProtection="1">
      <alignment horizontal="left" vertical="center" wrapText="1"/>
      <protection hidden="1"/>
    </xf>
    <xf numFmtId="0" fontId="29" fillId="0" borderId="8" xfId="0" applyFont="1" applyBorder="1" applyAlignment="1">
      <alignment vertical="center" wrapText="1"/>
    </xf>
    <xf numFmtId="0" fontId="28" fillId="0" borderId="8" xfId="0" applyFont="1" applyBorder="1" applyAlignment="1">
      <alignment vertical="center" wrapText="1"/>
    </xf>
    <xf numFmtId="164" fontId="49" fillId="0" borderId="7" xfId="20" applyFont="1" applyFill="1" applyBorder="1" applyAlignment="1" applyProtection="1">
      <alignment vertical="center" wrapText="1"/>
      <protection locked="0"/>
    </xf>
    <xf numFmtId="164" fontId="29" fillId="0" borderId="22" xfId="20" applyFont="1" applyFill="1" applyBorder="1" applyAlignment="1" applyProtection="1">
      <alignment horizontal="center" vertical="center"/>
      <protection locked="0"/>
    </xf>
    <xf numFmtId="17" fontId="28" fillId="0" borderId="1" xfId="0" applyNumberFormat="1" applyFont="1" applyBorder="1" applyAlignment="1" applyProtection="1">
      <alignment horizontal="center" vertical="center"/>
      <protection hidden="1"/>
    </xf>
    <xf numFmtId="0" fontId="28" fillId="0" borderId="0" xfId="0" applyFont="1" applyAlignment="1">
      <alignment vertical="center" wrapText="1"/>
    </xf>
    <xf numFmtId="10" fontId="28" fillId="0" borderId="1" xfId="0" applyNumberFormat="1" applyFont="1" applyBorder="1" applyAlignment="1" applyProtection="1">
      <alignment vertical="center"/>
      <protection hidden="1"/>
    </xf>
    <xf numFmtId="0" fontId="28" fillId="0" borderId="0" xfId="0" applyFont="1" applyAlignment="1">
      <alignment vertical="center"/>
    </xf>
    <xf numFmtId="10" fontId="28" fillId="0" borderId="3" xfId="0" applyNumberFormat="1" applyFont="1" applyBorder="1" applyAlignment="1" applyProtection="1">
      <alignment vertical="center"/>
      <protection hidden="1"/>
    </xf>
    <xf numFmtId="0" fontId="28" fillId="0" borderId="7" xfId="0" applyFont="1" applyBorder="1" applyAlignment="1" applyProtection="1">
      <alignment vertical="center"/>
      <protection hidden="1"/>
    </xf>
    <xf numFmtId="0" fontId="28" fillId="0" borderId="7" xfId="0" applyFont="1" applyBorder="1" applyAlignment="1" applyProtection="1">
      <alignment vertical="center" wrapText="1"/>
      <protection hidden="1"/>
    </xf>
    <xf numFmtId="0" fontId="0" fillId="0" borderId="7" xfId="0" applyBorder="1" applyAlignment="1">
      <alignment vertical="center"/>
    </xf>
    <xf numFmtId="0" fontId="28" fillId="0" borderId="9" xfId="0" applyFont="1" applyBorder="1" applyAlignment="1" applyProtection="1">
      <alignment horizontal="left" vertical="center"/>
      <protection hidden="1"/>
    </xf>
    <xf numFmtId="4" fontId="28" fillId="0" borderId="7" xfId="0" applyNumberFormat="1" applyFont="1" applyBorder="1" applyAlignment="1" applyProtection="1">
      <alignment horizontal="center" vertical="center"/>
      <protection hidden="1"/>
    </xf>
    <xf numFmtId="1" fontId="28" fillId="4" borderId="7" xfId="0" applyNumberFormat="1" applyFont="1" applyFill="1" applyBorder="1" applyAlignment="1" applyProtection="1">
      <alignment vertical="center" wrapText="1"/>
      <protection hidden="1"/>
    </xf>
    <xf numFmtId="4" fontId="28" fillId="4" borderId="7" xfId="0" applyNumberFormat="1" applyFont="1" applyFill="1" applyBorder="1" applyAlignment="1" applyProtection="1">
      <alignment horizontal="center" vertical="center" wrapText="1"/>
      <protection hidden="1"/>
    </xf>
    <xf numFmtId="0" fontId="28" fillId="4" borderId="7" xfId="0" applyFont="1" applyFill="1" applyBorder="1" applyAlignment="1" applyProtection="1">
      <alignment horizontal="left" vertical="center" wrapText="1"/>
      <protection hidden="1"/>
    </xf>
    <xf numFmtId="0" fontId="26" fillId="0" borderId="6" xfId="0" applyFont="1" applyBorder="1" applyAlignment="1">
      <alignment horizontal="center" vertical="center"/>
    </xf>
    <xf numFmtId="1" fontId="26" fillId="0" borderId="6" xfId="0" applyNumberFormat="1" applyFont="1" applyBorder="1" applyAlignment="1">
      <alignment horizontal="center" vertical="center"/>
    </xf>
    <xf numFmtId="0" fontId="26" fillId="0" borderId="6" xfId="0" applyFont="1" applyBorder="1" applyAlignment="1">
      <alignment horizontal="center" vertical="center" wrapText="1"/>
    </xf>
    <xf numFmtId="2" fontId="26" fillId="0" borderId="6" xfId="0" applyNumberFormat="1" applyFont="1" applyBorder="1" applyAlignment="1">
      <alignment horizontal="center" vertical="center"/>
    </xf>
    <xf numFmtId="4" fontId="26" fillId="0" borderId="8" xfId="0" applyNumberFormat="1" applyFont="1" applyBorder="1" applyAlignment="1">
      <alignment vertical="center"/>
    </xf>
    <xf numFmtId="4" fontId="26" fillId="0" borderId="9" xfId="0" applyNumberFormat="1" applyFont="1" applyBorder="1" applyAlignment="1">
      <alignment vertical="center"/>
    </xf>
    <xf numFmtId="4" fontId="26" fillId="0" borderId="6" xfId="0" applyNumberFormat="1" applyFont="1" applyBorder="1" applyAlignment="1">
      <alignment horizontal="center" vertical="center"/>
    </xf>
    <xf numFmtId="43" fontId="29" fillId="4" borderId="6" xfId="20" applyNumberFormat="1" applyFont="1" applyFill="1" applyBorder="1" applyAlignment="1" applyProtection="1">
      <alignment horizontal="center" vertical="center" wrapText="1"/>
      <protection locked="0"/>
    </xf>
    <xf numFmtId="0" fontId="26" fillId="0" borderId="16" xfId="0" applyFont="1" applyBorder="1" applyAlignment="1">
      <alignment horizontal="center" vertical="center"/>
    </xf>
    <xf numFmtId="10" fontId="28" fillId="0" borderId="0" xfId="12" applyNumberFormat="1" applyFont="1" applyAlignment="1" applyProtection="1">
      <alignment horizontal="center" vertical="center" wrapText="1"/>
      <protection hidden="1"/>
    </xf>
    <xf numFmtId="4" fontId="26" fillId="5" borderId="7" xfId="0" applyNumberFormat="1" applyFont="1" applyFill="1" applyBorder="1" applyAlignment="1">
      <alignment horizontal="left" vertical="top"/>
    </xf>
    <xf numFmtId="4" fontId="25" fillId="4" borderId="21" xfId="0" applyNumberFormat="1" applyFont="1" applyFill="1" applyBorder="1" applyAlignment="1">
      <alignment horizontal="left" vertical="top"/>
    </xf>
    <xf numFmtId="4" fontId="26" fillId="0" borderId="22" xfId="0" applyNumberFormat="1" applyFont="1" applyBorder="1" applyAlignment="1">
      <alignment horizontal="left" vertical="top"/>
    </xf>
    <xf numFmtId="4" fontId="25" fillId="0" borderId="1" xfId="0" applyNumberFormat="1" applyFont="1" applyBorder="1" applyAlignment="1">
      <alignment horizontal="left" vertical="top"/>
    </xf>
    <xf numFmtId="4" fontId="25" fillId="0" borderId="3" xfId="0" applyNumberFormat="1" applyFont="1" applyBorder="1" applyAlignment="1">
      <alignment horizontal="left" vertical="top"/>
    </xf>
    <xf numFmtId="4" fontId="25" fillId="4" borderId="7" xfId="0" applyNumberFormat="1" applyFont="1" applyFill="1" applyBorder="1" applyAlignment="1">
      <alignment horizontal="left" vertical="top"/>
    </xf>
    <xf numFmtId="4" fontId="25" fillId="0" borderId="22" xfId="0" applyNumberFormat="1" applyFont="1" applyBorder="1" applyAlignment="1">
      <alignment horizontal="left" vertical="top"/>
    </xf>
    <xf numFmtId="4" fontId="26" fillId="0" borderId="10" xfId="0" applyNumberFormat="1" applyFont="1" applyBorder="1" applyAlignment="1">
      <alignment horizontal="center" vertical="top"/>
    </xf>
    <xf numFmtId="164" fontId="29" fillId="0" borderId="21" xfId="20" applyFont="1" applyFill="1" applyBorder="1" applyAlignment="1" applyProtection="1">
      <alignment horizontal="center" vertical="center"/>
      <protection locked="0"/>
    </xf>
    <xf numFmtId="17" fontId="28" fillId="0" borderId="0" xfId="0" applyNumberFormat="1" applyFont="1" applyAlignment="1" applyProtection="1">
      <alignment horizontal="center" vertical="center"/>
      <protection hidden="1"/>
    </xf>
    <xf numFmtId="10" fontId="28" fillId="0" borderId="0" xfId="0" applyNumberFormat="1" applyFont="1" applyAlignment="1" applyProtection="1">
      <alignment vertical="center"/>
      <protection hidden="1"/>
    </xf>
    <xf numFmtId="10" fontId="28" fillId="0" borderId="4" xfId="0" applyNumberFormat="1" applyFont="1" applyBorder="1" applyAlignment="1" applyProtection="1">
      <alignment vertical="center"/>
      <protection hidden="1"/>
    </xf>
    <xf numFmtId="0" fontId="26" fillId="0" borderId="3" xfId="0" applyFont="1" applyBorder="1" applyAlignment="1">
      <alignment horizontal="center" vertical="top"/>
    </xf>
    <xf numFmtId="0" fontId="26" fillId="0" borderId="4" xfId="0" applyFont="1" applyBorder="1" applyAlignment="1">
      <alignment horizontal="center" vertical="top"/>
    </xf>
    <xf numFmtId="1" fontId="26" fillId="0" borderId="4" xfId="0" applyNumberFormat="1" applyFont="1" applyBorder="1" applyAlignment="1">
      <alignment horizontal="center" vertical="top"/>
    </xf>
    <xf numFmtId="0" fontId="42" fillId="0" borderId="4" xfId="0" applyFont="1" applyBorder="1" applyAlignment="1">
      <alignment horizontal="right" vertical="top" wrapText="1"/>
    </xf>
    <xf numFmtId="0" fontId="25" fillId="0" borderId="4" xfId="0" applyFont="1" applyBorder="1" applyAlignment="1">
      <alignment horizontal="center" vertical="top"/>
    </xf>
    <xf numFmtId="4" fontId="25" fillId="0" borderId="4" xfId="0" applyNumberFormat="1" applyFont="1" applyBorder="1" applyAlignment="1">
      <alignment horizontal="center" vertical="top"/>
    </xf>
    <xf numFmtId="4" fontId="25" fillId="0" borderId="4" xfId="0" applyNumberFormat="1" applyFont="1" applyBorder="1" applyAlignment="1">
      <alignment horizontal="left" vertical="top"/>
    </xf>
    <xf numFmtId="0" fontId="42" fillId="0" borderId="31" xfId="0" applyFont="1" applyBorder="1" applyAlignment="1">
      <alignment horizontal="right" vertical="center" wrapText="1"/>
    </xf>
    <xf numFmtId="0" fontId="25" fillId="0" borderId="31" xfId="0" applyFont="1" applyBorder="1" applyAlignment="1">
      <alignment horizontal="center" vertical="center"/>
    </xf>
    <xf numFmtId="4" fontId="25" fillId="0" borderId="1" xfId="0" applyNumberFormat="1" applyFont="1" applyBorder="1" applyAlignment="1">
      <alignment horizontal="center" vertical="center"/>
    </xf>
    <xf numFmtId="4" fontId="25" fillId="0" borderId="2" xfId="0" applyNumberFormat="1" applyFont="1" applyBorder="1" applyAlignment="1">
      <alignment horizontal="center" vertical="center"/>
    </xf>
    <xf numFmtId="4" fontId="25" fillId="0" borderId="31" xfId="0" applyNumberFormat="1" applyFont="1" applyBorder="1" applyAlignment="1">
      <alignment horizontal="center" vertical="center"/>
    </xf>
    <xf numFmtId="0" fontId="29" fillId="11" borderId="8" xfId="0" applyFont="1" applyFill="1" applyBorder="1" applyAlignment="1" applyProtection="1">
      <alignment horizontal="center" vertical="center" wrapText="1"/>
      <protection hidden="1"/>
    </xf>
    <xf numFmtId="0" fontId="29" fillId="11" borderId="22" xfId="0" applyFont="1" applyFill="1" applyBorder="1" applyAlignment="1" applyProtection="1">
      <alignment horizontal="center" vertical="center" wrapText="1"/>
      <protection hidden="1"/>
    </xf>
    <xf numFmtId="0" fontId="29" fillId="11" borderId="7" xfId="0" applyFont="1" applyFill="1" applyBorder="1" applyAlignment="1" applyProtection="1">
      <alignment horizontal="center" vertical="center" wrapText="1"/>
      <protection hidden="1"/>
    </xf>
    <xf numFmtId="2" fontId="29" fillId="11" borderId="7" xfId="19" applyNumberFormat="1" applyFont="1" applyFill="1" applyBorder="1" applyAlignment="1" applyProtection="1">
      <alignment horizontal="center" vertical="center" wrapText="1"/>
      <protection hidden="1"/>
    </xf>
    <xf numFmtId="164" fontId="29" fillId="11" borderId="7" xfId="19" applyFont="1" applyFill="1" applyBorder="1" applyAlignment="1" applyProtection="1">
      <alignment horizontal="center" vertical="center" wrapText="1"/>
      <protection hidden="1"/>
    </xf>
    <xf numFmtId="164" fontId="29" fillId="11" borderId="4" xfId="19" applyFont="1" applyFill="1" applyBorder="1" applyAlignment="1" applyProtection="1">
      <alignment horizontal="center" vertical="center" wrapText="1"/>
      <protection hidden="1"/>
    </xf>
    <xf numFmtId="164" fontId="29" fillId="11" borderId="6" xfId="19" applyFont="1" applyFill="1" applyBorder="1" applyAlignment="1" applyProtection="1">
      <alignment horizontal="center" vertical="center" wrapText="1"/>
      <protection hidden="1"/>
    </xf>
    <xf numFmtId="173" fontId="29" fillId="11" borderId="6" xfId="0" applyNumberFormat="1" applyFont="1" applyFill="1" applyBorder="1" applyAlignment="1">
      <alignment horizontal="center" vertical="center" wrapText="1"/>
    </xf>
    <xf numFmtId="4" fontId="29" fillId="11" borderId="6" xfId="0" applyNumberFormat="1" applyFont="1" applyFill="1" applyBorder="1" applyAlignment="1">
      <alignment horizontal="center" vertical="center" wrapText="1"/>
    </xf>
    <xf numFmtId="0" fontId="51" fillId="11" borderId="8" xfId="0" applyFont="1" applyFill="1" applyBorder="1" applyAlignment="1" applyProtection="1">
      <alignment horizontal="center" vertical="center" wrapText="1"/>
      <protection hidden="1"/>
    </xf>
    <xf numFmtId="0" fontId="25" fillId="0" borderId="14" xfId="0" applyFont="1" applyBorder="1" applyAlignment="1">
      <alignment horizontal="justify" vertical="center" wrapText="1"/>
    </xf>
    <xf numFmtId="0" fontId="25" fillId="0" borderId="14" xfId="0" applyFont="1" applyBorder="1" applyAlignment="1">
      <alignment horizontal="center" vertical="center"/>
    </xf>
    <xf numFmtId="4" fontId="26" fillId="0" borderId="22" xfId="0" applyNumberFormat="1" applyFont="1" applyBorder="1" applyAlignment="1">
      <alignment horizontal="center" vertical="center"/>
    </xf>
    <xf numFmtId="0" fontId="42" fillId="0" borderId="15" xfId="0" applyFont="1" applyBorder="1" applyAlignment="1">
      <alignment horizontal="right" vertical="center" wrapText="1"/>
    </xf>
    <xf numFmtId="0" fontId="25" fillId="0" borderId="15" xfId="0" applyFont="1" applyBorder="1" applyAlignment="1">
      <alignment horizontal="center" vertical="center"/>
    </xf>
    <xf numFmtId="4" fontId="25" fillId="0" borderId="3" xfId="0" applyNumberFormat="1" applyFont="1" applyBorder="1" applyAlignment="1">
      <alignment horizontal="center" vertical="center"/>
    </xf>
    <xf numFmtId="0" fontId="26" fillId="0" borderId="8" xfId="0" applyFont="1" applyBorder="1" applyAlignment="1">
      <alignment horizontal="center" vertical="top"/>
    </xf>
    <xf numFmtId="0" fontId="26" fillId="0" borderId="7" xfId="0" applyFont="1" applyBorder="1" applyAlignment="1">
      <alignment horizontal="center" vertical="top"/>
    </xf>
    <xf numFmtId="1" fontId="26" fillId="0" borderId="7" xfId="0" applyNumberFormat="1" applyFont="1" applyBorder="1" applyAlignment="1">
      <alignment horizontal="center" vertical="top"/>
    </xf>
    <xf numFmtId="0" fontId="42" fillId="0" borderId="7" xfId="0" applyFont="1" applyBorder="1" applyAlignment="1">
      <alignment horizontal="right" vertical="top" wrapText="1"/>
    </xf>
    <xf numFmtId="0" fontId="25" fillId="0" borderId="14" xfId="0" applyFont="1" applyBorder="1" applyAlignment="1">
      <alignment horizontal="left" vertical="top" wrapText="1"/>
    </xf>
    <xf numFmtId="0" fontId="30" fillId="8" borderId="6" xfId="0" applyFont="1" applyFill="1" applyBorder="1" applyAlignment="1" applyProtection="1">
      <alignment horizontal="center" vertical="top"/>
      <protection hidden="1"/>
    </xf>
    <xf numFmtId="0" fontId="30" fillId="8" borderId="8" xfId="0" applyFont="1" applyFill="1" applyBorder="1" applyAlignment="1" applyProtection="1">
      <alignment horizontal="center" vertical="top"/>
      <protection hidden="1"/>
    </xf>
    <xf numFmtId="1" fontId="30" fillId="8" borderId="8" xfId="0" applyNumberFormat="1" applyFont="1" applyFill="1" applyBorder="1" applyAlignment="1" applyProtection="1">
      <alignment horizontal="center" vertical="top"/>
      <protection hidden="1"/>
    </xf>
    <xf numFmtId="0" fontId="30" fillId="8" borderId="8" xfId="0" applyFont="1" applyFill="1" applyBorder="1" applyAlignment="1" applyProtection="1">
      <alignment horizontal="justify" vertical="top" wrapText="1"/>
      <protection hidden="1"/>
    </xf>
    <xf numFmtId="0" fontId="30" fillId="8" borderId="7" xfId="0" applyFont="1" applyFill="1" applyBorder="1" applyAlignment="1" applyProtection="1">
      <alignment horizontal="center" vertical="top"/>
      <protection hidden="1"/>
    </xf>
    <xf numFmtId="4" fontId="27" fillId="8" borderId="7" xfId="0" applyNumberFormat="1" applyFont="1" applyFill="1" applyBorder="1" applyAlignment="1">
      <alignment horizontal="center" vertical="top"/>
    </xf>
    <xf numFmtId="4" fontId="25" fillId="8" borderId="7" xfId="0" applyNumberFormat="1" applyFont="1" applyFill="1" applyBorder="1" applyAlignment="1">
      <alignment horizontal="center" vertical="top"/>
    </xf>
    <xf numFmtId="4" fontId="25" fillId="8" borderId="9" xfId="0" applyNumberFormat="1" applyFont="1" applyFill="1" applyBorder="1" applyAlignment="1">
      <alignment horizontal="center" vertical="top"/>
    </xf>
    <xf numFmtId="0" fontId="29" fillId="8" borderId="7" xfId="0" applyFont="1" applyFill="1" applyBorder="1" applyAlignment="1" applyProtection="1">
      <alignment horizontal="center" vertical="center"/>
      <protection hidden="1"/>
    </xf>
    <xf numFmtId="0" fontId="29" fillId="8" borderId="7" xfId="0" applyFont="1" applyFill="1" applyBorder="1" applyAlignment="1">
      <alignment horizontal="center" vertical="center"/>
    </xf>
    <xf numFmtId="0" fontId="28" fillId="0" borderId="21" xfId="0" applyFont="1" applyBorder="1" applyAlignment="1" applyProtection="1">
      <alignment horizontal="center" vertical="center"/>
      <protection hidden="1"/>
    </xf>
    <xf numFmtId="4" fontId="28" fillId="0" borderId="4" xfId="19" applyNumberFormat="1" applyFont="1" applyFill="1" applyBorder="1" applyAlignment="1" applyProtection="1">
      <alignment horizontal="center" vertical="center" wrapText="1"/>
    </xf>
    <xf numFmtId="0" fontId="29" fillId="8" borderId="8" xfId="0" applyFont="1" applyFill="1" applyBorder="1" applyAlignment="1" applyProtection="1">
      <alignment horizontal="justify" vertical="center" wrapText="1"/>
      <protection hidden="1"/>
    </xf>
    <xf numFmtId="2" fontId="29" fillId="8" borderId="7" xfId="0" applyNumberFormat="1" applyFont="1" applyFill="1" applyBorder="1" applyAlignment="1" applyProtection="1">
      <alignment horizontal="center" vertical="center"/>
      <protection hidden="1"/>
    </xf>
    <xf numFmtId="4" fontId="29" fillId="8" borderId="6" xfId="0" applyNumberFormat="1" applyFont="1" applyFill="1" applyBorder="1" applyAlignment="1">
      <alignment horizontal="center" vertical="center" wrapText="1"/>
    </xf>
    <xf numFmtId="173" fontId="29" fillId="8" borderId="6" xfId="0" applyNumberFormat="1" applyFont="1" applyFill="1" applyBorder="1" applyAlignment="1">
      <alignment horizontal="center" vertical="center" wrapText="1"/>
    </xf>
    <xf numFmtId="4" fontId="25" fillId="8" borderId="7" xfId="0" applyNumberFormat="1" applyFont="1" applyFill="1" applyBorder="1" applyAlignment="1">
      <alignment horizontal="left" vertical="top"/>
    </xf>
    <xf numFmtId="164" fontId="49" fillId="0" borderId="9" xfId="20" applyFont="1" applyFill="1" applyBorder="1" applyAlignment="1" applyProtection="1">
      <alignment vertical="center" wrapText="1"/>
      <protection locked="0"/>
    </xf>
    <xf numFmtId="0" fontId="29" fillId="0" borderId="9" xfId="0" applyFont="1" applyBorder="1" applyAlignment="1" applyProtection="1">
      <alignment vertical="center" wrapText="1"/>
      <protection hidden="1"/>
    </xf>
    <xf numFmtId="0" fontId="25" fillId="0" borderId="31" xfId="0" applyFont="1" applyBorder="1" applyAlignment="1">
      <alignment horizontal="justify" vertical="center" wrapText="1"/>
    </xf>
    <xf numFmtId="4" fontId="26" fillId="0" borderId="1" xfId="0" applyNumberFormat="1" applyFont="1" applyBorder="1" applyAlignment="1">
      <alignment horizontal="center" vertical="center"/>
    </xf>
    <xf numFmtId="0" fontId="0" fillId="0" borderId="10" xfId="0" applyBorder="1"/>
    <xf numFmtId="0" fontId="0" fillId="0" borderId="2" xfId="0" applyBorder="1"/>
    <xf numFmtId="0" fontId="29" fillId="11" borderId="6" xfId="12" applyFont="1" applyFill="1" applyBorder="1" applyAlignment="1" applyProtection="1">
      <alignment horizontal="center" vertical="center" wrapText="1"/>
      <protection locked="0"/>
    </xf>
    <xf numFmtId="43" fontId="29" fillId="11" borderId="6" xfId="12" applyNumberFormat="1" applyFont="1" applyFill="1" applyBorder="1" applyAlignment="1" applyProtection="1">
      <alignment horizontal="center" vertical="center" wrapText="1"/>
      <protection locked="0"/>
    </xf>
    <xf numFmtId="4" fontId="29" fillId="11" borderId="6" xfId="12" applyNumberFormat="1" applyFont="1" applyFill="1" applyBorder="1" applyAlignment="1" applyProtection="1">
      <alignment horizontal="center" vertical="center" wrapText="1"/>
      <protection locked="0"/>
    </xf>
    <xf numFmtId="4" fontId="9" fillId="0" borderId="6" xfId="12" applyNumberFormat="1" applyFont="1" applyBorder="1" applyAlignment="1">
      <alignment horizontal="left" vertical="center" wrapText="1"/>
    </xf>
    <xf numFmtId="0" fontId="25" fillId="0" borderId="14" xfId="0" applyFont="1" applyBorder="1" applyAlignment="1">
      <alignment vertical="top" wrapText="1"/>
    </xf>
    <xf numFmtId="4" fontId="9" fillId="0" borderId="6" xfId="12" applyNumberFormat="1" applyFont="1" applyBorder="1" applyAlignment="1">
      <alignment horizontal="justify" vertical="top" wrapText="1"/>
    </xf>
    <xf numFmtId="0" fontId="9" fillId="0" borderId="18" xfId="12" applyFont="1" applyBorder="1" applyAlignment="1">
      <alignment horizontal="justify" vertical="top" wrapText="1"/>
    </xf>
    <xf numFmtId="4" fontId="29" fillId="11" borderId="8" xfId="0" applyNumberFormat="1" applyFont="1" applyFill="1" applyBorder="1" applyAlignment="1" applyProtection="1">
      <alignment horizontal="center" vertical="center" wrapText="1"/>
      <protection hidden="1"/>
    </xf>
    <xf numFmtId="10" fontId="29" fillId="11" borderId="6" xfId="0" applyNumberFormat="1" applyFont="1" applyFill="1" applyBorder="1" applyAlignment="1">
      <alignment horizontal="center" vertical="center" wrapText="1"/>
    </xf>
    <xf numFmtId="0" fontId="0" fillId="0" borderId="0" xfId="0" applyAlignment="1">
      <alignment horizontal="center" wrapText="1"/>
    </xf>
    <xf numFmtId="0" fontId="3" fillId="0" borderId="0" xfId="12" applyAlignment="1">
      <alignment horizontal="center" vertical="center"/>
    </xf>
    <xf numFmtId="0" fontId="44" fillId="0" borderId="0" xfId="12" applyFont="1" applyAlignment="1">
      <alignment horizontal="center" vertical="center" wrapText="1"/>
    </xf>
    <xf numFmtId="0" fontId="3" fillId="0" borderId="0" xfId="12" applyAlignment="1">
      <alignment horizontal="center" vertical="center" wrapText="1"/>
    </xf>
    <xf numFmtId="0" fontId="52" fillId="0" borderId="0" xfId="12" applyFont="1" applyAlignment="1">
      <alignment horizontal="center" vertical="center"/>
    </xf>
    <xf numFmtId="0" fontId="6" fillId="0" borderId="16" xfId="12" applyFont="1" applyBorder="1" applyAlignment="1">
      <alignment horizontal="center" vertical="center" wrapText="1"/>
    </xf>
    <xf numFmtId="164" fontId="49" fillId="0" borderId="21" xfId="20" applyFont="1" applyFill="1" applyBorder="1" applyAlignment="1" applyProtection="1">
      <alignment vertical="center" wrapText="1"/>
      <protection locked="0"/>
    </xf>
    <xf numFmtId="164" fontId="49" fillId="0" borderId="0" xfId="20" applyFont="1" applyFill="1" applyBorder="1" applyAlignment="1" applyProtection="1">
      <alignment vertical="center" wrapText="1"/>
      <protection locked="0"/>
    </xf>
    <xf numFmtId="0" fontId="29" fillId="0" borderId="0" xfId="0" applyFont="1" applyAlignment="1" applyProtection="1">
      <alignment vertical="center" wrapText="1"/>
      <protection hidden="1"/>
    </xf>
    <xf numFmtId="0" fontId="29" fillId="0" borderId="4" xfId="0" applyFont="1" applyBorder="1" applyAlignment="1" applyProtection="1">
      <alignment vertical="center" wrapText="1"/>
      <protection hidden="1"/>
    </xf>
    <xf numFmtId="0" fontId="28" fillId="0" borderId="8" xfId="0" applyFont="1" applyBorder="1" applyAlignment="1" applyProtection="1">
      <alignment horizontal="left" vertical="top" wrapText="1"/>
      <protection hidden="1"/>
    </xf>
    <xf numFmtId="0" fontId="46" fillId="0" borderId="0" xfId="0" applyFont="1" applyAlignment="1">
      <alignment horizontal="center" vertical="top"/>
    </xf>
    <xf numFmtId="1" fontId="46" fillId="0" borderId="0" xfId="0" applyNumberFormat="1" applyFont="1" applyAlignment="1">
      <alignment horizontal="center" vertical="top"/>
    </xf>
    <xf numFmtId="0" fontId="42" fillId="0" borderId="0" xfId="0" applyFont="1" applyAlignment="1">
      <alignment horizontal="right" vertical="top" wrapText="1"/>
    </xf>
    <xf numFmtId="0" fontId="9" fillId="0" borderId="8" xfId="12" applyFont="1" applyBorder="1" applyAlignment="1">
      <alignment horizontal="center" vertical="center"/>
    </xf>
    <xf numFmtId="0" fontId="9" fillId="0" borderId="7" xfId="12" applyFont="1" applyBorder="1" applyAlignment="1">
      <alignment horizontal="center" vertical="center"/>
    </xf>
    <xf numFmtId="4" fontId="9" fillId="0" borderId="7" xfId="12" applyNumberFormat="1" applyFont="1" applyBorder="1" applyAlignment="1">
      <alignment horizontal="justify" vertical="center" wrapText="1"/>
    </xf>
    <xf numFmtId="4" fontId="9" fillId="0" borderId="7" xfId="12" applyNumberFormat="1" applyFont="1" applyBorder="1" applyAlignment="1">
      <alignment horizontal="center" vertical="center"/>
    </xf>
    <xf numFmtId="167" fontId="9" fillId="0" borderId="7" xfId="12" applyNumberFormat="1" applyFont="1" applyBorder="1" applyAlignment="1">
      <alignment horizontal="center" vertical="center"/>
    </xf>
    <xf numFmtId="167" fontId="9" fillId="0" borderId="9" xfId="12" applyNumberFormat="1" applyFont="1" applyBorder="1" applyAlignment="1">
      <alignment horizontal="center" vertical="center"/>
    </xf>
    <xf numFmtId="4" fontId="9" fillId="0" borderId="9" xfId="12" applyNumberFormat="1" applyFont="1" applyBorder="1" applyAlignment="1">
      <alignment horizontal="center" vertical="center"/>
    </xf>
    <xf numFmtId="0" fontId="9" fillId="0" borderId="0" xfId="12" applyFont="1" applyAlignment="1">
      <alignment horizontal="left" vertical="center" wrapText="1"/>
    </xf>
    <xf numFmtId="14" fontId="9" fillId="0" borderId="0" xfId="12" applyNumberFormat="1" applyFont="1" applyAlignment="1">
      <alignment horizontal="center" vertical="center"/>
    </xf>
    <xf numFmtId="4" fontId="9" fillId="0" borderId="2" xfId="12" applyNumberFormat="1" applyFont="1" applyBorder="1" applyAlignment="1">
      <alignment horizontal="center" vertical="center" wrapText="1"/>
    </xf>
    <xf numFmtId="0" fontId="53" fillId="12" borderId="6" xfId="0" applyFont="1" applyFill="1" applyBorder="1" applyAlignment="1">
      <alignment horizontal="center" vertical="center" wrapText="1"/>
    </xf>
    <xf numFmtId="0" fontId="54" fillId="0" borderId="6" xfId="0" applyFont="1" applyBorder="1" applyAlignment="1">
      <alignment horizontal="center" vertical="center" wrapText="1"/>
    </xf>
    <xf numFmtId="0" fontId="54" fillId="0" borderId="6" xfId="0" applyFont="1" applyBorder="1" applyAlignment="1">
      <alignment horizontal="justify" vertical="center" wrapText="1"/>
    </xf>
    <xf numFmtId="174" fontId="54" fillId="0" borderId="6" xfId="0" applyNumberFormat="1" applyFont="1" applyBorder="1" applyAlignment="1">
      <alignment vertical="center" wrapText="1"/>
    </xf>
    <xf numFmtId="10" fontId="53" fillId="12" borderId="6" xfId="0" applyNumberFormat="1" applyFont="1" applyFill="1" applyBorder="1" applyAlignment="1">
      <alignment vertical="center" wrapText="1"/>
    </xf>
    <xf numFmtId="0" fontId="53" fillId="12" borderId="65" xfId="0" applyFont="1" applyFill="1" applyBorder="1" applyAlignment="1">
      <alignment horizontal="center" vertical="center" wrapText="1"/>
    </xf>
    <xf numFmtId="0" fontId="53" fillId="12" borderId="66" xfId="0" applyFont="1" applyFill="1" applyBorder="1" applyAlignment="1">
      <alignment horizontal="center" vertical="center" wrapText="1"/>
    </xf>
    <xf numFmtId="0" fontId="54" fillId="0" borderId="66" xfId="0" applyFont="1" applyBorder="1" applyAlignment="1">
      <alignment horizontal="center"/>
    </xf>
    <xf numFmtId="0" fontId="55" fillId="0" borderId="67" xfId="0" applyFont="1" applyBorder="1" applyAlignment="1">
      <alignment horizontal="center" vertical="center" wrapText="1"/>
    </xf>
    <xf numFmtId="0" fontId="55" fillId="0" borderId="66" xfId="0" applyFont="1" applyBorder="1" applyAlignment="1">
      <alignment horizontal="center" vertical="center" wrapText="1"/>
    </xf>
    <xf numFmtId="0" fontId="55" fillId="0" borderId="66" xfId="0" applyFont="1" applyBorder="1" applyAlignment="1">
      <alignment horizontal="justify" vertical="center" wrapText="1"/>
    </xf>
    <xf numFmtId="174" fontId="55" fillId="0" borderId="66" xfId="0" applyNumberFormat="1" applyFont="1" applyBorder="1" applyAlignment="1">
      <alignment vertical="center" wrapText="1"/>
    </xf>
    <xf numFmtId="0" fontId="54" fillId="0" borderId="66" xfId="0" applyFont="1" applyBorder="1" applyAlignment="1">
      <alignment horizontal="center" vertical="center"/>
    </xf>
    <xf numFmtId="0" fontId="55" fillId="0" borderId="66" xfId="0" applyFont="1" applyBorder="1" applyAlignment="1">
      <alignment vertical="center" wrapText="1"/>
    </xf>
    <xf numFmtId="0" fontId="54" fillId="0" borderId="67" xfId="0" applyFont="1" applyBorder="1" applyAlignment="1">
      <alignment horizontal="center" vertical="center" wrapText="1"/>
    </xf>
    <xf numFmtId="0" fontId="54" fillId="0" borderId="66" xfId="0" applyFont="1" applyBorder="1" applyAlignment="1">
      <alignment vertical="center" wrapText="1"/>
    </xf>
    <xf numFmtId="0" fontId="54" fillId="0" borderId="66" xfId="0" applyFont="1" applyBorder="1" applyAlignment="1">
      <alignment horizontal="center" vertical="center" wrapText="1"/>
    </xf>
    <xf numFmtId="174" fontId="54" fillId="0" borderId="66" xfId="0" applyNumberFormat="1" applyFont="1" applyBorder="1" applyAlignment="1">
      <alignment vertical="center" wrapText="1"/>
    </xf>
    <xf numFmtId="0" fontId="56" fillId="0" borderId="66" xfId="0" applyFont="1" applyBorder="1" applyAlignment="1">
      <alignment wrapText="1"/>
    </xf>
    <xf numFmtId="0" fontId="28" fillId="0" borderId="69" xfId="0" applyFont="1" applyBorder="1" applyAlignment="1" applyProtection="1">
      <alignment horizontal="center" vertical="center"/>
      <protection hidden="1"/>
    </xf>
    <xf numFmtId="0" fontId="28" fillId="0" borderId="68" xfId="0" applyFont="1" applyBorder="1" applyAlignment="1" applyProtection="1">
      <alignment horizontal="center" vertical="center"/>
      <protection hidden="1"/>
    </xf>
    <xf numFmtId="0" fontId="53" fillId="12" borderId="70" xfId="0" applyFont="1" applyFill="1" applyBorder="1" applyAlignment="1">
      <alignment horizontal="center" vertical="center" wrapText="1"/>
    </xf>
    <xf numFmtId="0" fontId="28" fillId="0" borderId="69" xfId="0" applyFont="1" applyBorder="1" applyAlignment="1" applyProtection="1">
      <alignment horizontal="justify" vertical="center" wrapText="1"/>
      <protection hidden="1"/>
    </xf>
    <xf numFmtId="0" fontId="28" fillId="0" borderId="69" xfId="0" applyFont="1" applyBorder="1" applyAlignment="1" applyProtection="1">
      <alignment horizontal="center" vertical="center" wrapText="1"/>
      <protection hidden="1"/>
    </xf>
    <xf numFmtId="4" fontId="28" fillId="0" borderId="69" xfId="0" applyNumberFormat="1" applyFont="1" applyBorder="1" applyAlignment="1" applyProtection="1">
      <alignment horizontal="center" vertical="center" wrapText="1"/>
      <protection hidden="1"/>
    </xf>
    <xf numFmtId="4" fontId="28" fillId="0" borderId="69" xfId="19" applyNumberFormat="1" applyFont="1" applyFill="1" applyBorder="1" applyAlignment="1" applyProtection="1">
      <alignment horizontal="center" vertical="center" wrapText="1"/>
      <protection locked="0"/>
    </xf>
    <xf numFmtId="4" fontId="28" fillId="0" borderId="69" xfId="19" applyNumberFormat="1" applyFont="1" applyFill="1" applyBorder="1" applyAlignment="1" applyProtection="1">
      <alignment horizontal="center" vertical="center" wrapText="1"/>
    </xf>
    <xf numFmtId="173" fontId="28" fillId="0" borderId="67" xfId="19" applyNumberFormat="1" applyFont="1" applyFill="1" applyBorder="1" applyAlignment="1" applyProtection="1">
      <alignment horizontal="center" vertical="center" wrapText="1"/>
    </xf>
    <xf numFmtId="0" fontId="0" fillId="0" borderId="66" xfId="0" applyBorder="1" applyAlignment="1">
      <alignment horizontal="center"/>
    </xf>
    <xf numFmtId="0" fontId="54" fillId="0" borderId="66" xfId="0" applyFont="1" applyBorder="1"/>
    <xf numFmtId="0" fontId="57" fillId="13" borderId="66" xfId="0" applyFont="1" applyFill="1" applyBorder="1" applyAlignment="1">
      <alignment horizontal="center" vertical="center"/>
    </xf>
    <xf numFmtId="0" fontId="58" fillId="13" borderId="66" xfId="0" applyFont="1" applyFill="1" applyBorder="1" applyAlignment="1">
      <alignment horizontal="left" vertical="center"/>
    </xf>
    <xf numFmtId="0" fontId="59" fillId="0" borderId="66" xfId="0" applyFont="1" applyBorder="1" applyAlignment="1">
      <alignment horizontal="center" vertical="center"/>
    </xf>
    <xf numFmtId="0" fontId="54" fillId="0" borderId="66" xfId="0" applyFont="1" applyBorder="1" applyAlignment="1">
      <alignment horizontal="justify" vertical="center" wrapText="1"/>
    </xf>
    <xf numFmtId="0" fontId="54" fillId="0" borderId="66" xfId="0" applyFont="1" applyBorder="1" applyAlignment="1">
      <alignment horizontal="justify" vertical="center"/>
    </xf>
    <xf numFmtId="165" fontId="57" fillId="13" borderId="66" xfId="4" applyFont="1" applyFill="1" applyBorder="1" applyAlignment="1" applyProtection="1">
      <alignment horizontal="center" vertical="center"/>
    </xf>
    <xf numFmtId="0" fontId="55" fillId="0" borderId="66" xfId="0" applyFont="1" applyBorder="1" applyAlignment="1">
      <alignment horizontal="justify" vertical="center"/>
    </xf>
    <xf numFmtId="4" fontId="60" fillId="13" borderId="66" xfId="4" applyNumberFormat="1" applyFont="1" applyFill="1" applyBorder="1" applyAlignment="1">
      <alignment horizontal="center" vertical="center"/>
    </xf>
    <xf numFmtId="173" fontId="57" fillId="13" borderId="66" xfId="26" applyNumberFormat="1" applyFont="1" applyFill="1" applyBorder="1" applyAlignment="1" applyProtection="1">
      <alignment horizontal="center" vertical="center"/>
    </xf>
    <xf numFmtId="43" fontId="53" fillId="12" borderId="66" xfId="0" applyNumberFormat="1" applyFont="1" applyFill="1" applyBorder="1" applyAlignment="1">
      <alignment horizontal="center" vertical="center" wrapText="1"/>
    </xf>
    <xf numFmtId="173" fontId="53" fillId="12" borderId="66" xfId="0" applyNumberFormat="1" applyFont="1" applyFill="1" applyBorder="1" applyAlignment="1">
      <alignment horizontal="center" vertical="center" wrapText="1"/>
    </xf>
    <xf numFmtId="0" fontId="59" fillId="0" borderId="68" xfId="0" applyFont="1" applyBorder="1" applyAlignment="1">
      <alignment horizontal="center" vertical="center"/>
    </xf>
    <xf numFmtId="0" fontId="54" fillId="0" borderId="69" xfId="0" applyFont="1" applyBorder="1" applyAlignment="1">
      <alignment horizontal="center" vertical="center" wrapText="1"/>
    </xf>
    <xf numFmtId="0" fontId="54" fillId="0" borderId="69" xfId="0" applyFont="1" applyBorder="1" applyAlignment="1">
      <alignment horizontal="justify" vertical="center"/>
    </xf>
    <xf numFmtId="174" fontId="54" fillId="0" borderId="69" xfId="0" applyNumberFormat="1" applyFont="1" applyBorder="1" applyAlignment="1">
      <alignment vertical="center" wrapText="1"/>
    </xf>
    <xf numFmtId="0" fontId="29" fillId="14" borderId="68" xfId="0" applyFont="1" applyFill="1" applyBorder="1" applyAlignment="1" applyProtection="1">
      <alignment horizontal="center" vertical="center"/>
      <protection hidden="1"/>
    </xf>
    <xf numFmtId="0" fontId="29" fillId="14" borderId="68" xfId="0" applyFont="1" applyFill="1" applyBorder="1" applyAlignment="1" applyProtection="1">
      <alignment horizontal="justify" vertical="center" wrapText="1"/>
      <protection hidden="1"/>
    </xf>
    <xf numFmtId="49" fontId="29" fillId="14" borderId="69" xfId="0" applyNumberFormat="1" applyFont="1" applyFill="1" applyBorder="1" applyAlignment="1" applyProtection="1">
      <alignment horizontal="justify" vertical="center" wrapText="1"/>
      <protection hidden="1"/>
    </xf>
    <xf numFmtId="0" fontId="29" fillId="14" borderId="69" xfId="0" applyFont="1" applyFill="1" applyBorder="1" applyAlignment="1" applyProtection="1">
      <alignment horizontal="justify" vertical="center" wrapText="1"/>
      <protection hidden="1"/>
    </xf>
    <xf numFmtId="0" fontId="29" fillId="14" borderId="69" xfId="0" applyFont="1" applyFill="1" applyBorder="1" applyAlignment="1" applyProtection="1">
      <alignment vertical="center"/>
      <protection hidden="1"/>
    </xf>
    <xf numFmtId="0" fontId="29" fillId="4" borderId="66" xfId="0" applyFont="1" applyFill="1" applyBorder="1" applyAlignment="1" applyProtection="1">
      <alignment horizontal="center" vertical="center"/>
      <protection hidden="1"/>
    </xf>
    <xf numFmtId="0" fontId="29" fillId="4" borderId="68" xfId="0" applyFont="1" applyFill="1" applyBorder="1" applyAlignment="1" applyProtection="1">
      <alignment horizontal="center" vertical="center"/>
      <protection hidden="1"/>
    </xf>
    <xf numFmtId="0" fontId="29" fillId="4" borderId="68" xfId="0" applyFont="1" applyFill="1" applyBorder="1" applyAlignment="1" applyProtection="1">
      <alignment horizontal="justify" vertical="center" wrapText="1"/>
      <protection hidden="1"/>
    </xf>
    <xf numFmtId="49" fontId="29" fillId="4" borderId="69" xfId="0" applyNumberFormat="1" applyFont="1" applyFill="1" applyBorder="1" applyAlignment="1" applyProtection="1">
      <alignment horizontal="center" vertical="center"/>
      <protection hidden="1"/>
    </xf>
    <xf numFmtId="2" fontId="29" fillId="4" borderId="69" xfId="0" applyNumberFormat="1" applyFont="1" applyFill="1" applyBorder="1" applyAlignment="1" applyProtection="1">
      <alignment horizontal="center" vertical="center"/>
      <protection hidden="1"/>
    </xf>
    <xf numFmtId="0" fontId="29" fillId="4" borderId="69" xfId="0" applyFont="1" applyFill="1" applyBorder="1" applyAlignment="1" applyProtection="1">
      <alignment horizontal="center" vertical="center"/>
      <protection hidden="1"/>
    </xf>
    <xf numFmtId="0" fontId="28" fillId="0" borderId="66" xfId="0" applyFont="1" applyBorder="1" applyAlignment="1" applyProtection="1">
      <alignment horizontal="center" vertical="center"/>
      <protection hidden="1"/>
    </xf>
    <xf numFmtId="0" fontId="0" fillId="0" borderId="66" xfId="0" applyBorder="1" applyAlignment="1">
      <alignment horizontal="center" vertical="center"/>
    </xf>
    <xf numFmtId="0" fontId="28" fillId="0" borderId="66" xfId="0" applyFont="1" applyBorder="1" applyAlignment="1" applyProtection="1">
      <alignment horizontal="justify" vertical="center" wrapText="1"/>
      <protection hidden="1"/>
    </xf>
    <xf numFmtId="49" fontId="28" fillId="0" borderId="66" xfId="0" applyNumberFormat="1" applyFont="1" applyBorder="1" applyAlignment="1" applyProtection="1">
      <alignment horizontal="center" vertical="center" wrapText="1"/>
      <protection hidden="1"/>
    </xf>
    <xf numFmtId="4" fontId="28" fillId="0" borderId="66" xfId="0" applyNumberFormat="1" applyFont="1" applyBorder="1" applyAlignment="1" applyProtection="1">
      <alignment horizontal="center" vertical="center" wrapText="1"/>
      <protection hidden="1"/>
    </xf>
    <xf numFmtId="4" fontId="0" fillId="0" borderId="66" xfId="0" applyNumberFormat="1" applyBorder="1" applyAlignment="1">
      <alignment horizontal="center" vertical="center"/>
    </xf>
    <xf numFmtId="4" fontId="29" fillId="4" borderId="69" xfId="0" applyNumberFormat="1" applyFont="1" applyFill="1" applyBorder="1" applyAlignment="1" applyProtection="1">
      <alignment horizontal="center" vertical="center"/>
      <protection hidden="1"/>
    </xf>
    <xf numFmtId="173" fontId="29" fillId="4" borderId="69" xfId="0" applyNumberFormat="1" applyFont="1" applyFill="1" applyBorder="1" applyAlignment="1" applyProtection="1">
      <alignment horizontal="center" vertical="center"/>
      <protection hidden="1"/>
    </xf>
    <xf numFmtId="4" fontId="28" fillId="0" borderId="66" xfId="19" applyNumberFormat="1" applyFont="1" applyFill="1" applyBorder="1" applyAlignment="1" applyProtection="1">
      <alignment horizontal="center" vertical="center" wrapText="1"/>
      <protection locked="0"/>
    </xf>
    <xf numFmtId="0" fontId="28" fillId="10" borderId="66" xfId="0" applyFont="1" applyFill="1" applyBorder="1" applyAlignment="1" applyProtection="1">
      <alignment horizontal="center" vertical="center"/>
      <protection hidden="1"/>
    </xf>
    <xf numFmtId="0" fontId="28" fillId="10" borderId="66" xfId="0" applyFont="1" applyFill="1" applyBorder="1" applyAlignment="1" applyProtection="1">
      <alignment horizontal="justify" vertical="center" wrapText="1"/>
      <protection hidden="1"/>
    </xf>
    <xf numFmtId="4" fontId="28" fillId="0" borderId="66" xfId="19" applyNumberFormat="1" applyFont="1" applyFill="1" applyBorder="1" applyAlignment="1" applyProtection="1">
      <alignment horizontal="center" vertical="center" wrapText="1"/>
    </xf>
    <xf numFmtId="4" fontId="29" fillId="14" borderId="69" xfId="0" applyNumberFormat="1" applyFont="1" applyFill="1" applyBorder="1" applyAlignment="1" applyProtection="1">
      <alignment vertical="center"/>
      <protection hidden="1"/>
    </xf>
    <xf numFmtId="0" fontId="61" fillId="12" borderId="66" xfId="0" applyFont="1" applyFill="1" applyBorder="1" applyAlignment="1">
      <alignment horizontal="center" vertical="center" wrapText="1"/>
    </xf>
    <xf numFmtId="0" fontId="55" fillId="0" borderId="66" xfId="0" applyFont="1" applyBorder="1" applyAlignment="1">
      <alignment horizontal="center" vertical="center"/>
    </xf>
    <xf numFmtId="174" fontId="55" fillId="0" borderId="66" xfId="0" applyNumberFormat="1" applyFont="1" applyBorder="1" applyAlignment="1">
      <alignment horizontal="center" vertical="center" wrapText="1"/>
    </xf>
    <xf numFmtId="0" fontId="56" fillId="0" borderId="66" xfId="0" applyFont="1" applyBorder="1" applyAlignment="1">
      <alignment horizontal="center"/>
    </xf>
    <xf numFmtId="4" fontId="61" fillId="12" borderId="66" xfId="0" applyNumberFormat="1" applyFont="1" applyFill="1" applyBorder="1" applyAlignment="1">
      <alignment horizontal="center" vertical="center" wrapText="1"/>
    </xf>
    <xf numFmtId="173" fontId="61" fillId="12" borderId="66" xfId="0" applyNumberFormat="1" applyFont="1" applyFill="1" applyBorder="1" applyAlignment="1">
      <alignment horizontal="center" vertical="center" wrapText="1"/>
    </xf>
    <xf numFmtId="10" fontId="29" fillId="14" borderId="69" xfId="26" applyNumberFormat="1" applyFont="1" applyFill="1" applyBorder="1" applyAlignment="1" applyProtection="1">
      <alignment vertical="center"/>
      <protection hidden="1"/>
    </xf>
    <xf numFmtId="43" fontId="28" fillId="0" borderId="0" xfId="0" applyNumberFormat="1" applyFont="1" applyAlignment="1" applyProtection="1">
      <alignment vertical="center"/>
      <protection hidden="1"/>
    </xf>
    <xf numFmtId="9" fontId="28" fillId="0" borderId="0" xfId="26" applyFont="1" applyAlignment="1" applyProtection="1">
      <alignment vertical="center" wrapText="1"/>
      <protection hidden="1"/>
    </xf>
    <xf numFmtId="9" fontId="29" fillId="4" borderId="6" xfId="26" applyFont="1" applyFill="1" applyBorder="1" applyAlignment="1" applyProtection="1">
      <alignment horizontal="center" vertical="center" wrapText="1"/>
      <protection hidden="1"/>
    </xf>
    <xf numFmtId="4" fontId="28" fillId="0" borderId="67" xfId="19" applyNumberFormat="1" applyFont="1" applyFill="1" applyBorder="1" applyAlignment="1" applyProtection="1">
      <alignment horizontal="center" vertical="center" wrapText="1"/>
    </xf>
    <xf numFmtId="9" fontId="29" fillId="4" borderId="8" xfId="26" applyFont="1" applyFill="1" applyBorder="1" applyAlignment="1" applyProtection="1">
      <alignment horizontal="center" vertical="center" wrapText="1"/>
      <protection hidden="1"/>
    </xf>
    <xf numFmtId="0" fontId="56" fillId="0" borderId="68" xfId="0" applyFont="1" applyBorder="1" applyAlignment="1">
      <alignment horizontal="center"/>
    </xf>
    <xf numFmtId="0" fontId="55" fillId="0" borderId="69" xfId="0" applyFont="1" applyBorder="1" applyAlignment="1">
      <alignment horizontal="justify" vertical="center" wrapText="1"/>
    </xf>
    <xf numFmtId="0" fontId="55" fillId="0" borderId="69" xfId="0" applyFont="1" applyBorder="1" applyAlignment="1">
      <alignment horizontal="center" vertical="center" wrapText="1"/>
    </xf>
    <xf numFmtId="0" fontId="54" fillId="0" borderId="6" xfId="0" applyFont="1" applyBorder="1" applyAlignment="1">
      <alignment horizontal="center" vertical="center"/>
    </xf>
    <xf numFmtId="0" fontId="59" fillId="0" borderId="6" xfId="0" applyFont="1" applyBorder="1" applyAlignment="1">
      <alignment horizontal="center" vertical="center"/>
    </xf>
    <xf numFmtId="0" fontId="54" fillId="0" borderId="6" xfId="0" applyFont="1" applyBorder="1" applyAlignment="1">
      <alignment horizontal="center"/>
    </xf>
    <xf numFmtId="0" fontId="56" fillId="0" borderId="6" xfId="0" applyFont="1" applyBorder="1" applyAlignment="1">
      <alignment horizontal="center"/>
    </xf>
    <xf numFmtId="0" fontId="55" fillId="0" borderId="6" xfId="0" applyFont="1" applyBorder="1" applyAlignment="1">
      <alignment horizontal="center" vertical="center"/>
    </xf>
    <xf numFmtId="0" fontId="54" fillId="0" borderId="6" xfId="0" applyFont="1" applyBorder="1" applyAlignment="1">
      <alignment vertical="center" wrapText="1"/>
    </xf>
    <xf numFmtId="0" fontId="55" fillId="0" borderId="6" xfId="0" applyFont="1" applyBorder="1" applyAlignment="1">
      <alignment vertical="center" wrapText="1"/>
    </xf>
    <xf numFmtId="0" fontId="54" fillId="0" borderId="6" xfId="0" applyFont="1" applyBorder="1" applyAlignment="1">
      <alignment horizontal="justify" vertical="center"/>
    </xf>
    <xf numFmtId="0" fontId="56" fillId="0" borderId="6" xfId="0" applyFont="1" applyBorder="1" applyAlignment="1">
      <alignment wrapText="1"/>
    </xf>
    <xf numFmtId="0" fontId="54" fillId="0" borderId="6" xfId="0" applyFont="1" applyBorder="1"/>
    <xf numFmtId="0" fontId="28" fillId="10" borderId="6" xfId="0" applyFont="1" applyFill="1" applyBorder="1" applyAlignment="1" applyProtection="1">
      <alignment horizontal="justify" vertical="center" wrapText="1"/>
      <protection hidden="1"/>
    </xf>
    <xf numFmtId="0" fontId="55" fillId="0" borderId="6" xfId="0" applyFont="1" applyBorder="1" applyAlignment="1">
      <alignment horizontal="justify" vertical="center" wrapText="1"/>
    </xf>
    <xf numFmtId="49" fontId="28" fillId="0" borderId="6" xfId="0" applyNumberFormat="1" applyFont="1" applyBorder="1" applyAlignment="1" applyProtection="1">
      <alignment horizontal="center" vertical="center" wrapText="1"/>
      <protection hidden="1"/>
    </xf>
    <xf numFmtId="0" fontId="55" fillId="0" borderId="6" xfId="0" applyFont="1" applyBorder="1" applyAlignment="1">
      <alignment horizontal="center" vertical="center" wrapText="1"/>
    </xf>
    <xf numFmtId="4" fontId="28" fillId="0" borderId="67" xfId="0" applyNumberFormat="1" applyFont="1" applyBorder="1" applyAlignment="1" applyProtection="1">
      <alignment horizontal="center" vertical="center" wrapText="1"/>
      <protection hidden="1"/>
    </xf>
    <xf numFmtId="0" fontId="28" fillId="0" borderId="68" xfId="12" applyFont="1" applyBorder="1" applyAlignment="1" applyProtection="1">
      <alignment horizontal="center" vertical="center" wrapText="1"/>
      <protection locked="0"/>
    </xf>
    <xf numFmtId="0" fontId="28" fillId="0" borderId="69" xfId="12" applyFont="1" applyBorder="1" applyAlignment="1" applyProtection="1">
      <alignment horizontal="center" vertical="center" wrapText="1"/>
      <protection locked="0"/>
    </xf>
    <xf numFmtId="164" fontId="28" fillId="0" borderId="69" xfId="16" applyFont="1" applyFill="1" applyBorder="1" applyAlignment="1" applyProtection="1">
      <alignment horizontal="center" vertical="center" wrapText="1"/>
      <protection locked="0"/>
    </xf>
    <xf numFmtId="4" fontId="28" fillId="0" borderId="67" xfId="12" applyNumberFormat="1" applyFont="1" applyBorder="1" applyAlignment="1" applyProtection="1">
      <alignment horizontal="center" vertical="center"/>
      <protection locked="0"/>
    </xf>
    <xf numFmtId="0" fontId="28" fillId="4" borderId="69" xfId="0" applyFont="1" applyFill="1" applyBorder="1" applyAlignment="1">
      <alignment vertical="center" wrapText="1"/>
    </xf>
    <xf numFmtId="0" fontId="28" fillId="0" borderId="71" xfId="0" applyFont="1" applyBorder="1" applyAlignment="1">
      <alignment vertical="center" wrapText="1"/>
    </xf>
    <xf numFmtId="0" fontId="0" fillId="0" borderId="69" xfId="0" applyBorder="1"/>
    <xf numFmtId="164" fontId="29" fillId="0" borderId="69" xfId="20" applyFont="1" applyFill="1" applyBorder="1" applyAlignment="1" applyProtection="1">
      <alignment horizontal="center" vertical="center" wrapText="1"/>
      <protection locked="0"/>
    </xf>
    <xf numFmtId="0" fontId="53" fillId="12" borderId="6" xfId="0" applyFont="1" applyFill="1" applyBorder="1" applyAlignment="1">
      <alignment vertical="center" wrapText="1"/>
    </xf>
    <xf numFmtId="0" fontId="53" fillId="12" borderId="66" xfId="0" applyFont="1" applyFill="1" applyBorder="1" applyAlignment="1">
      <alignment vertical="center" wrapText="1"/>
    </xf>
    <xf numFmtId="0" fontId="61" fillId="12" borderId="66" xfId="0" applyFont="1" applyFill="1" applyBorder="1" applyAlignment="1">
      <alignment vertical="center" wrapText="1"/>
    </xf>
    <xf numFmtId="171" fontId="9" fillId="8" borderId="84" xfId="7" applyFont="1" applyFill="1" applyBorder="1" applyAlignment="1">
      <alignment horizontal="center" vertical="center"/>
    </xf>
    <xf numFmtId="0" fontId="14" fillId="4" borderId="75" xfId="12" applyFont="1" applyFill="1" applyBorder="1" applyAlignment="1">
      <alignment horizontal="right" vertical="center"/>
    </xf>
    <xf numFmtId="171" fontId="14" fillId="4" borderId="0" xfId="7" applyFont="1" applyFill="1" applyBorder="1" applyAlignment="1">
      <alignment horizontal="center" vertical="center"/>
    </xf>
    <xf numFmtId="4" fontId="28" fillId="0" borderId="84" xfId="19" applyNumberFormat="1" applyFont="1" applyFill="1" applyBorder="1" applyAlignment="1" applyProtection="1">
      <alignment horizontal="center" vertical="center" wrapText="1"/>
      <protection locked="0"/>
    </xf>
    <xf numFmtId="4" fontId="28" fillId="0" borderId="66" xfId="31" applyNumberFormat="1" applyFont="1" applyFill="1" applyBorder="1" applyAlignment="1" applyProtection="1">
      <alignment horizontal="center" vertical="center" wrapText="1"/>
      <protection locked="0"/>
    </xf>
    <xf numFmtId="4" fontId="28" fillId="0" borderId="66" xfId="31" applyNumberFormat="1" applyFont="1" applyFill="1" applyBorder="1" applyAlignment="1" applyProtection="1">
      <alignment horizontal="center" vertical="center" wrapText="1"/>
    </xf>
    <xf numFmtId="0" fontId="28" fillId="0" borderId="66" xfId="0" applyFont="1" applyBorder="1" applyAlignment="1" applyProtection="1">
      <alignment horizontal="center" vertical="center" wrapText="1"/>
      <protection hidden="1"/>
    </xf>
    <xf numFmtId="0" fontId="28" fillId="0" borderId="66" xfId="0" applyFont="1" applyBorder="1" applyAlignment="1" applyProtection="1">
      <alignment horizontal="left" vertical="top" wrapText="1"/>
      <protection hidden="1"/>
    </xf>
    <xf numFmtId="173" fontId="28" fillId="0" borderId="84" xfId="19" applyNumberFormat="1" applyFont="1" applyFill="1" applyBorder="1" applyAlignment="1" applyProtection="1">
      <alignment horizontal="center" vertical="center" wrapText="1"/>
    </xf>
    <xf numFmtId="4" fontId="28" fillId="0" borderId="84" xfId="19" applyNumberFormat="1" applyFont="1" applyFill="1" applyBorder="1" applyAlignment="1" applyProtection="1">
      <alignment horizontal="center" vertical="center" wrapText="1"/>
    </xf>
    <xf numFmtId="0" fontId="14" fillId="4" borderId="74" xfId="12" applyFont="1" applyFill="1" applyBorder="1" applyAlignment="1">
      <alignment horizontal="right" vertical="center"/>
    </xf>
    <xf numFmtId="4" fontId="28" fillId="0" borderId="84" xfId="31" applyNumberFormat="1" applyFont="1" applyFill="1" applyBorder="1" applyAlignment="1" applyProtection="1">
      <alignment horizontal="center" vertical="center" wrapText="1"/>
    </xf>
    <xf numFmtId="0" fontId="28" fillId="0" borderId="84" xfId="0" applyFont="1" applyBorder="1" applyAlignment="1" applyProtection="1">
      <alignment horizontal="center" vertical="center" wrapText="1"/>
      <protection hidden="1"/>
    </xf>
    <xf numFmtId="0" fontId="28" fillId="0" borderId="84" xfId="0" applyFont="1" applyBorder="1" applyAlignment="1" applyProtection="1">
      <alignment horizontal="center" vertical="center"/>
      <protection hidden="1"/>
    </xf>
    <xf numFmtId="0" fontId="28" fillId="0" borderId="86" xfId="0" applyFont="1" applyBorder="1" applyAlignment="1" applyProtection="1">
      <alignment horizontal="center" vertical="center"/>
      <protection hidden="1"/>
    </xf>
    <xf numFmtId="0" fontId="31" fillId="0" borderId="84" xfId="0" applyFont="1" applyBorder="1" applyAlignment="1">
      <alignment horizontal="center" vertical="center"/>
    </xf>
    <xf numFmtId="0" fontId="33" fillId="7" borderId="89" xfId="8" applyFont="1" applyFill="1" applyBorder="1" applyAlignment="1">
      <alignment horizontal="center" vertical="center"/>
    </xf>
    <xf numFmtId="0" fontId="34" fillId="0" borderId="89" xfId="8" applyFont="1" applyBorder="1" applyAlignment="1">
      <alignment horizontal="center" vertical="center"/>
    </xf>
    <xf numFmtId="10" fontId="34" fillId="0" borderId="89" xfId="8" applyNumberFormat="1" applyFont="1" applyBorder="1" applyAlignment="1" applyProtection="1">
      <alignment horizontal="center" vertical="center"/>
      <protection hidden="1"/>
    </xf>
    <xf numFmtId="4" fontId="13" fillId="5" borderId="90" xfId="12" applyNumberFormat="1" applyFont="1" applyFill="1" applyBorder="1" applyAlignment="1">
      <alignment horizontal="center" vertical="center"/>
    </xf>
    <xf numFmtId="0" fontId="13" fillId="8" borderId="84" xfId="12" applyFont="1" applyFill="1" applyBorder="1" applyAlignment="1">
      <alignment horizontal="center" vertical="center"/>
    </xf>
    <xf numFmtId="167" fontId="13" fillId="8" borderId="84" xfId="12" applyNumberFormat="1" applyFont="1" applyFill="1" applyBorder="1" applyAlignment="1">
      <alignment horizontal="center" vertical="center"/>
    </xf>
    <xf numFmtId="4" fontId="13" fillId="8" borderId="84" xfId="12" applyNumberFormat="1" applyFont="1" applyFill="1" applyBorder="1" applyAlignment="1">
      <alignment horizontal="center" vertical="center"/>
    </xf>
    <xf numFmtId="0" fontId="9" fillId="0" borderId="84" xfId="12" applyFont="1" applyBorder="1" applyAlignment="1">
      <alignment horizontal="center" vertical="center"/>
    </xf>
    <xf numFmtId="167" fontId="9" fillId="0" borderId="84" xfId="12" applyNumberFormat="1" applyFont="1" applyBorder="1" applyAlignment="1">
      <alignment horizontal="center" vertical="center"/>
    </xf>
    <xf numFmtId="4" fontId="9" fillId="0" borderId="84" xfId="12" applyNumberFormat="1" applyFont="1" applyBorder="1" applyAlignment="1">
      <alignment horizontal="center" vertical="center"/>
    </xf>
    <xf numFmtId="0" fontId="3" fillId="0" borderId="86" xfId="12" applyBorder="1" applyAlignment="1">
      <alignment vertical="center"/>
    </xf>
    <xf numFmtId="0" fontId="14" fillId="0" borderId="85" xfId="12" applyFont="1" applyBorder="1" applyAlignment="1">
      <alignment horizontal="center" vertical="center"/>
    </xf>
    <xf numFmtId="4" fontId="3" fillId="0" borderId="87" xfId="12" applyNumberFormat="1" applyBorder="1" applyAlignment="1">
      <alignment horizontal="center" vertical="center"/>
    </xf>
    <xf numFmtId="167" fontId="14" fillId="0" borderId="85" xfId="12" applyNumberFormat="1" applyFont="1" applyBorder="1" applyAlignment="1">
      <alignment horizontal="center" vertical="center"/>
    </xf>
    <xf numFmtId="4" fontId="14" fillId="0" borderId="85" xfId="12" applyNumberFormat="1" applyFont="1" applyBorder="1" applyAlignment="1">
      <alignment horizontal="center" vertical="center"/>
    </xf>
    <xf numFmtId="0" fontId="3" fillId="0" borderId="85" xfId="12" applyBorder="1" applyAlignment="1">
      <alignment vertical="center"/>
    </xf>
    <xf numFmtId="167" fontId="3" fillId="0" borderId="85" xfId="12" applyNumberFormat="1" applyBorder="1" applyAlignment="1">
      <alignment vertical="center"/>
    </xf>
    <xf numFmtId="4" fontId="3" fillId="0" borderId="85" xfId="12" applyNumberFormat="1" applyBorder="1" applyAlignment="1">
      <alignment vertical="center"/>
    </xf>
    <xf numFmtId="4" fontId="3" fillId="0" borderId="87" xfId="12" applyNumberFormat="1" applyBorder="1" applyAlignment="1">
      <alignment vertical="center"/>
    </xf>
    <xf numFmtId="10" fontId="34" fillId="0" borderId="73" xfId="8" applyNumberFormat="1" applyFont="1" applyBorder="1" applyAlignment="1" applyProtection="1">
      <alignment horizontal="center" vertical="center"/>
      <protection hidden="1"/>
    </xf>
    <xf numFmtId="0" fontId="13" fillId="8" borderId="84" xfId="12" applyFont="1" applyFill="1" applyBorder="1" applyAlignment="1">
      <alignment horizontal="justify" vertical="center" wrapText="1"/>
    </xf>
    <xf numFmtId="0" fontId="14" fillId="0" borderId="85" xfId="12" applyFont="1" applyBorder="1" applyAlignment="1">
      <alignment horizontal="justify" vertical="center" wrapText="1"/>
    </xf>
    <xf numFmtId="0" fontId="3" fillId="0" borderId="85" xfId="12" applyBorder="1" applyAlignment="1">
      <alignment horizontal="justify" vertical="center" wrapText="1"/>
    </xf>
    <xf numFmtId="0" fontId="12" fillId="0" borderId="76" xfId="8" applyFont="1" applyBorder="1" applyAlignment="1">
      <alignment vertical="center"/>
    </xf>
    <xf numFmtId="0" fontId="13" fillId="5" borderId="88" xfId="12" applyFont="1" applyFill="1" applyBorder="1" applyAlignment="1">
      <alignment horizontal="left" vertical="center"/>
    </xf>
    <xf numFmtId="0" fontId="28" fillId="0" borderId="84" xfId="0" applyFont="1" applyBorder="1" applyAlignment="1" applyProtection="1">
      <alignment horizontal="justify" vertical="center" wrapText="1"/>
      <protection hidden="1"/>
    </xf>
    <xf numFmtId="4" fontId="28" fillId="0" borderId="84" xfId="0" applyNumberFormat="1" applyFont="1" applyBorder="1" applyAlignment="1" applyProtection="1">
      <alignment horizontal="center" vertical="center" wrapText="1"/>
      <protection hidden="1"/>
    </xf>
    <xf numFmtId="169" fontId="29" fillId="6" borderId="77" xfId="6" applyFont="1" applyFill="1" applyBorder="1" applyAlignment="1" applyProtection="1">
      <alignment horizontal="center" vertical="center"/>
      <protection hidden="1"/>
    </xf>
    <xf numFmtId="169" fontId="33" fillId="7" borderId="72" xfId="6" applyFont="1" applyFill="1" applyBorder="1" applyAlignment="1" applyProtection="1">
      <alignment horizontal="center" vertical="center"/>
      <protection hidden="1"/>
    </xf>
    <xf numFmtId="0" fontId="28" fillId="0" borderId="89" xfId="8" applyFont="1" applyBorder="1" applyAlignment="1">
      <alignment horizontal="center" vertical="center"/>
    </xf>
    <xf numFmtId="10" fontId="28" fillId="0" borderId="89" xfId="8" applyNumberFormat="1" applyFont="1" applyBorder="1" applyAlignment="1" applyProtection="1">
      <alignment horizontal="center" vertical="center"/>
      <protection hidden="1"/>
    </xf>
    <xf numFmtId="0" fontId="13" fillId="5" borderId="90" xfId="12" applyFont="1" applyFill="1" applyBorder="1" applyAlignment="1">
      <alignment horizontal="left" vertical="center"/>
    </xf>
    <xf numFmtId="4" fontId="9" fillId="0" borderId="84" xfId="12" applyNumberFormat="1" applyFont="1" applyBorder="1" applyAlignment="1">
      <alignment horizontal="justify" vertical="center" wrapText="1"/>
    </xf>
    <xf numFmtId="4" fontId="9" fillId="0" borderId="84" xfId="12" applyNumberFormat="1" applyFont="1" applyBorder="1" applyAlignment="1">
      <alignment horizontal="justify" vertical="top" wrapText="1"/>
    </xf>
    <xf numFmtId="0" fontId="3" fillId="5" borderId="15" xfId="12" applyFill="1" applyBorder="1" applyAlignment="1">
      <alignment horizontal="center" vertical="center"/>
    </xf>
    <xf numFmtId="0" fontId="54" fillId="0" borderId="84" xfId="0" applyFont="1" applyBorder="1" applyAlignment="1">
      <alignment horizontal="center" vertical="center"/>
    </xf>
    <xf numFmtId="0" fontId="54" fillId="0" borderId="84" xfId="0" applyFont="1" applyBorder="1" applyAlignment="1">
      <alignment horizontal="center" vertical="center" wrapText="1"/>
    </xf>
    <xf numFmtId="0" fontId="54" fillId="0" borderId="84" xfId="0" applyFont="1" applyBorder="1" applyAlignment="1">
      <alignment horizontal="center"/>
    </xf>
    <xf numFmtId="0" fontId="59" fillId="0" borderId="84" xfId="0" applyFont="1" applyBorder="1" applyAlignment="1">
      <alignment horizontal="center" vertical="center"/>
    </xf>
    <xf numFmtId="0" fontId="55" fillId="0" borderId="84" xfId="0" applyFont="1" applyBorder="1" applyAlignment="1">
      <alignment vertical="center" wrapText="1"/>
    </xf>
    <xf numFmtId="0" fontId="54" fillId="0" borderId="84" xfId="0" applyFont="1" applyBorder="1" applyAlignment="1">
      <alignment horizontal="justify" vertical="center" wrapText="1"/>
    </xf>
    <xf numFmtId="0" fontId="55" fillId="0" borderId="84" xfId="0" applyFont="1" applyBorder="1" applyAlignment="1">
      <alignment horizontal="justify" vertical="center"/>
    </xf>
    <xf numFmtId="49" fontId="28" fillId="0" borderId="84" xfId="0" applyNumberFormat="1" applyFont="1" applyBorder="1" applyAlignment="1" applyProtection="1">
      <alignment horizontal="center" vertical="center" wrapText="1"/>
      <protection hidden="1"/>
    </xf>
    <xf numFmtId="0" fontId="55" fillId="0" borderId="84" xfId="0" applyFont="1" applyBorder="1" applyAlignment="1">
      <alignment horizontal="center" vertical="center" wrapText="1"/>
    </xf>
    <xf numFmtId="0" fontId="29" fillId="0" borderId="86" xfId="0" applyFont="1" applyBorder="1" applyAlignment="1" applyProtection="1">
      <alignment horizontal="right" vertical="center" wrapText="1"/>
      <protection hidden="1"/>
    </xf>
    <xf numFmtId="0" fontId="28" fillId="10" borderId="0" xfId="0" applyFont="1" applyFill="1" applyAlignment="1" applyProtection="1">
      <alignment vertical="center" wrapText="1"/>
      <protection hidden="1"/>
    </xf>
    <xf numFmtId="0" fontId="29" fillId="0" borderId="85" xfId="0" applyFont="1" applyBorder="1" applyAlignment="1" applyProtection="1">
      <alignment horizontal="right" vertical="center" wrapText="1"/>
      <protection hidden="1"/>
    </xf>
    <xf numFmtId="0" fontId="29" fillId="0" borderId="85" xfId="0" applyFont="1" applyBorder="1" applyAlignment="1" applyProtection="1">
      <alignment horizontal="right" vertical="center"/>
      <protection hidden="1"/>
    </xf>
    <xf numFmtId="3" fontId="29" fillId="0" borderId="86" xfId="19" applyNumberFormat="1" applyFont="1" applyFill="1" applyBorder="1" applyAlignment="1" applyProtection="1">
      <alignment vertical="center" wrapText="1"/>
      <protection hidden="1"/>
    </xf>
    <xf numFmtId="4" fontId="29" fillId="0" borderId="87" xfId="19" applyNumberFormat="1" applyFont="1" applyFill="1" applyBorder="1" applyAlignment="1" applyProtection="1">
      <alignment vertical="center" wrapText="1"/>
      <protection hidden="1"/>
    </xf>
    <xf numFmtId="0" fontId="28" fillId="4" borderId="0" xfId="0" applyFont="1" applyFill="1" applyAlignment="1" applyProtection="1">
      <alignment horizontal="justify" vertical="center" wrapText="1"/>
      <protection hidden="1"/>
    </xf>
    <xf numFmtId="4" fontId="28" fillId="4" borderId="0" xfId="0" applyNumberFormat="1" applyFont="1" applyFill="1" applyAlignment="1" applyProtection="1">
      <alignment vertical="center" wrapText="1"/>
      <protection hidden="1"/>
    </xf>
    <xf numFmtId="0" fontId="29" fillId="0" borderId="0" xfId="19" applyNumberFormat="1" applyFont="1" applyFill="1" applyBorder="1" applyAlignment="1" applyProtection="1">
      <alignment vertical="top" wrapText="1"/>
      <protection hidden="1"/>
    </xf>
    <xf numFmtId="0" fontId="30" fillId="11" borderId="7" xfId="0" applyFont="1" applyFill="1" applyBorder="1" applyAlignment="1" applyProtection="1">
      <alignment horizontal="center" vertical="center" wrapText="1"/>
      <protection hidden="1"/>
    </xf>
    <xf numFmtId="0" fontId="28" fillId="8" borderId="68" xfId="0" applyFont="1" applyFill="1" applyBorder="1" applyAlignment="1" applyProtection="1">
      <alignment horizontal="left" vertical="center" wrapText="1"/>
      <protection hidden="1"/>
    </xf>
    <xf numFmtId="0" fontId="28" fillId="8" borderId="69" xfId="0" applyFont="1" applyFill="1" applyBorder="1" applyAlignment="1" applyProtection="1">
      <alignment horizontal="left" vertical="center" wrapText="1"/>
      <protection hidden="1"/>
    </xf>
    <xf numFmtId="0" fontId="28" fillId="0" borderId="68" xfId="0" applyFont="1" applyBorder="1" applyAlignment="1" applyProtection="1">
      <alignment horizontal="center" vertical="center"/>
      <protection hidden="1"/>
    </xf>
    <xf numFmtId="0" fontId="28" fillId="0" borderId="69" xfId="0" applyFont="1" applyBorder="1" applyAlignment="1" applyProtection="1">
      <alignment horizontal="center" vertical="center"/>
      <protection hidden="1"/>
    </xf>
    <xf numFmtId="0" fontId="28" fillId="0" borderId="67" xfId="0" applyFont="1" applyBorder="1" applyAlignment="1" applyProtection="1">
      <alignment horizontal="center" vertical="center"/>
      <protection hidden="1"/>
    </xf>
    <xf numFmtId="0" fontId="28" fillId="4" borderId="6" xfId="0" applyFont="1" applyFill="1" applyBorder="1" applyAlignment="1" applyProtection="1">
      <alignment horizontal="center" vertical="center" wrapText="1"/>
      <protection hidden="1"/>
    </xf>
    <xf numFmtId="0" fontId="28" fillId="4" borderId="55" xfId="0" applyFont="1" applyFill="1" applyBorder="1" applyAlignment="1" applyProtection="1">
      <alignment horizontal="center" vertical="center" wrapText="1"/>
      <protection hidden="1"/>
    </xf>
    <xf numFmtId="0" fontId="28" fillId="4" borderId="56" xfId="0" applyFont="1" applyFill="1" applyBorder="1" applyAlignment="1" applyProtection="1">
      <alignment horizontal="center" vertical="center" wrapText="1"/>
      <protection hidden="1"/>
    </xf>
    <xf numFmtId="0" fontId="28" fillId="4" borderId="57" xfId="0" applyFont="1" applyFill="1" applyBorder="1" applyAlignment="1" applyProtection="1">
      <alignment horizontal="center" vertical="center" wrapText="1"/>
      <protection hidden="1"/>
    </xf>
    <xf numFmtId="0" fontId="45" fillId="0" borderId="8" xfId="0" applyFont="1" applyBorder="1" applyAlignment="1" applyProtection="1">
      <alignment horizontal="center" vertical="center" wrapText="1"/>
      <protection hidden="1"/>
    </xf>
    <xf numFmtId="0" fontId="45" fillId="0" borderId="7" xfId="0" applyFont="1" applyBorder="1" applyAlignment="1" applyProtection="1">
      <alignment horizontal="center" vertical="center" wrapText="1"/>
      <protection hidden="1"/>
    </xf>
    <xf numFmtId="0" fontId="45" fillId="0" borderId="9" xfId="0" applyFont="1" applyBorder="1" applyAlignment="1" applyProtection="1">
      <alignment horizontal="center" vertical="center" wrapText="1"/>
      <protection hidden="1"/>
    </xf>
    <xf numFmtId="0" fontId="29" fillId="0" borderId="55" xfId="0" applyFont="1" applyBorder="1" applyAlignment="1" applyProtection="1">
      <alignment horizontal="center" vertical="center"/>
      <protection hidden="1"/>
    </xf>
    <xf numFmtId="0" fontId="29" fillId="0" borderId="56" xfId="0" applyFont="1" applyBorder="1" applyAlignment="1" applyProtection="1">
      <alignment horizontal="center" vertical="center"/>
      <protection hidden="1"/>
    </xf>
    <xf numFmtId="0" fontId="29" fillId="0" borderId="57" xfId="0" applyFont="1" applyBorder="1" applyAlignment="1" applyProtection="1">
      <alignment horizontal="center" vertical="center"/>
      <protection hidden="1"/>
    </xf>
    <xf numFmtId="0" fontId="29" fillId="8" borderId="14" xfId="0" applyFont="1" applyFill="1" applyBorder="1" applyAlignment="1" applyProtection="1">
      <alignment horizontal="center" vertical="center"/>
      <protection hidden="1"/>
    </xf>
    <xf numFmtId="0" fontId="29" fillId="8" borderId="15" xfId="0" applyFont="1" applyFill="1" applyBorder="1" applyAlignment="1" applyProtection="1">
      <alignment horizontal="center" vertical="center"/>
      <protection hidden="1"/>
    </xf>
    <xf numFmtId="0" fontId="29" fillId="0" borderId="22" xfId="19" applyNumberFormat="1" applyFont="1" applyFill="1" applyBorder="1" applyAlignment="1" applyProtection="1">
      <alignment horizontal="left" vertical="top" wrapText="1"/>
      <protection hidden="1"/>
    </xf>
    <xf numFmtId="0" fontId="29" fillId="0" borderId="21" xfId="19" applyNumberFormat="1" applyFont="1" applyFill="1" applyBorder="1" applyAlignment="1" applyProtection="1">
      <alignment horizontal="left" vertical="top" wrapText="1"/>
      <protection hidden="1"/>
    </xf>
    <xf numFmtId="0" fontId="29" fillId="0" borderId="88" xfId="19" applyNumberFormat="1" applyFont="1" applyFill="1" applyBorder="1" applyAlignment="1" applyProtection="1">
      <alignment horizontal="left" vertical="top" wrapText="1"/>
      <protection hidden="1"/>
    </xf>
    <xf numFmtId="0" fontId="29" fillId="0" borderId="91" xfId="19" applyNumberFormat="1" applyFont="1" applyFill="1" applyBorder="1" applyAlignment="1" applyProtection="1">
      <alignment horizontal="left" vertical="top" wrapText="1"/>
      <protection hidden="1"/>
    </xf>
    <xf numFmtId="0" fontId="29" fillId="0" borderId="0" xfId="19" applyNumberFormat="1" applyFont="1" applyFill="1" applyBorder="1" applyAlignment="1" applyProtection="1">
      <alignment horizontal="left" vertical="top" wrapText="1"/>
      <protection hidden="1"/>
    </xf>
    <xf numFmtId="0" fontId="29" fillId="0" borderId="2" xfId="19" applyNumberFormat="1" applyFont="1" applyFill="1" applyBorder="1" applyAlignment="1" applyProtection="1">
      <alignment horizontal="left" vertical="top" wrapText="1"/>
      <protection hidden="1"/>
    </xf>
    <xf numFmtId="0" fontId="29" fillId="0" borderId="3" xfId="19" applyNumberFormat="1" applyFont="1" applyFill="1" applyBorder="1" applyAlignment="1" applyProtection="1">
      <alignment horizontal="left" vertical="top" wrapText="1"/>
      <protection hidden="1"/>
    </xf>
    <xf numFmtId="0" fontId="29" fillId="0" borderId="4" xfId="19" applyNumberFormat="1" applyFont="1" applyFill="1" applyBorder="1" applyAlignment="1" applyProtection="1">
      <alignment horizontal="left" vertical="top" wrapText="1"/>
      <protection hidden="1"/>
    </xf>
    <xf numFmtId="0" fontId="29" fillId="0" borderId="5" xfId="19" applyNumberFormat="1" applyFont="1" applyFill="1" applyBorder="1" applyAlignment="1" applyProtection="1">
      <alignment horizontal="left" vertical="top" wrapText="1"/>
      <protection hidden="1"/>
    </xf>
    <xf numFmtId="0" fontId="29" fillId="8" borderId="6" xfId="0" applyFont="1" applyFill="1" applyBorder="1" applyAlignment="1" applyProtection="1">
      <alignment horizontal="center" vertical="center"/>
      <protection hidden="1"/>
    </xf>
    <xf numFmtId="14" fontId="28" fillId="0" borderId="8" xfId="0" applyNumberFormat="1" applyFont="1" applyBorder="1" applyAlignment="1" applyProtection="1">
      <alignment horizontal="center" vertical="center"/>
      <protection hidden="1"/>
    </xf>
    <xf numFmtId="14" fontId="28" fillId="0" borderId="9" xfId="0" applyNumberFormat="1" applyFont="1" applyBorder="1" applyAlignment="1" applyProtection="1">
      <alignment horizontal="center" vertical="center"/>
      <protection hidden="1"/>
    </xf>
    <xf numFmtId="0" fontId="28" fillId="0" borderId="8" xfId="0" applyFont="1" applyBorder="1" applyAlignment="1" applyProtection="1">
      <alignment horizontal="center" vertical="center"/>
      <protection hidden="1"/>
    </xf>
    <xf numFmtId="0" fontId="28" fillId="0" borderId="7" xfId="0" applyFont="1" applyBorder="1" applyAlignment="1" applyProtection="1">
      <alignment horizontal="center" vertical="center"/>
      <protection hidden="1"/>
    </xf>
    <xf numFmtId="0" fontId="28" fillId="0" borderId="9" xfId="0" applyFont="1" applyBorder="1" applyAlignment="1" applyProtection="1">
      <alignment horizontal="center" vertical="center"/>
      <protection hidden="1"/>
    </xf>
    <xf numFmtId="0" fontId="29" fillId="8" borderId="8" xfId="0" applyFont="1" applyFill="1" applyBorder="1" applyAlignment="1" applyProtection="1">
      <alignment horizontal="center" vertical="center"/>
      <protection hidden="1"/>
    </xf>
    <xf numFmtId="0" fontId="29" fillId="8" borderId="7" xfId="0" applyFont="1" applyFill="1" applyBorder="1" applyAlignment="1" applyProtection="1">
      <alignment horizontal="center" vertical="center"/>
      <protection hidden="1"/>
    </xf>
    <xf numFmtId="0" fontId="29" fillId="8" borderId="9" xfId="0" applyFont="1" applyFill="1" applyBorder="1" applyAlignment="1" applyProtection="1">
      <alignment horizontal="center" vertical="center"/>
      <protection hidden="1"/>
    </xf>
    <xf numFmtId="14" fontId="28" fillId="0" borderId="68" xfId="0" applyNumberFormat="1" applyFont="1" applyBorder="1" applyAlignment="1" applyProtection="1">
      <alignment horizontal="center" vertical="center"/>
      <protection hidden="1"/>
    </xf>
    <xf numFmtId="14" fontId="28" fillId="0" borderId="67" xfId="0" applyNumberFormat="1" applyFont="1" applyBorder="1" applyAlignment="1" applyProtection="1">
      <alignment horizontal="center" vertical="center"/>
      <protection hidden="1"/>
    </xf>
    <xf numFmtId="0" fontId="29" fillId="0" borderId="6" xfId="0" applyFont="1" applyBorder="1" applyAlignment="1" applyProtection="1">
      <alignment horizontal="center" vertical="center" wrapText="1"/>
      <protection hidden="1"/>
    </xf>
    <xf numFmtId="0" fontId="29" fillId="0" borderId="22" xfId="0" applyFont="1" applyBorder="1" applyAlignment="1" applyProtection="1">
      <alignment horizontal="center" vertical="center" wrapText="1"/>
      <protection hidden="1"/>
    </xf>
    <xf numFmtId="0" fontId="29" fillId="0" borderId="21" xfId="0" applyFont="1" applyBorder="1" applyAlignment="1" applyProtection="1">
      <alignment horizontal="center" vertical="center" wrapText="1"/>
      <protection hidden="1"/>
    </xf>
    <xf numFmtId="0" fontId="29" fillId="0" borderId="10" xfId="0" applyFont="1" applyBorder="1" applyAlignment="1" applyProtection="1">
      <alignment horizontal="center" vertical="center" wrapText="1"/>
      <protection hidden="1"/>
    </xf>
    <xf numFmtId="0" fontId="29" fillId="0" borderId="3" xfId="0"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9" fillId="0" borderId="5" xfId="0" applyFont="1" applyBorder="1" applyAlignment="1" applyProtection="1">
      <alignment horizontal="center" vertical="center" wrapText="1"/>
      <protection hidden="1"/>
    </xf>
    <xf numFmtId="164" fontId="29" fillId="0" borderId="14" xfId="19" applyFont="1" applyFill="1" applyBorder="1" applyAlignment="1" applyProtection="1">
      <alignment horizontal="center" vertical="center" wrapText="1"/>
      <protection hidden="1"/>
    </xf>
    <xf numFmtId="164" fontId="29" fillId="0" borderId="15" xfId="19" applyFont="1" applyFill="1" applyBorder="1" applyAlignment="1" applyProtection="1">
      <alignment horizontal="center" vertical="center" wrapText="1"/>
      <protection hidden="1"/>
    </xf>
    <xf numFmtId="164" fontId="29" fillId="0" borderId="22" xfId="19" applyFont="1" applyFill="1" applyBorder="1" applyAlignment="1" applyProtection="1">
      <alignment horizontal="center" vertical="center" wrapText="1"/>
      <protection hidden="1"/>
    </xf>
    <xf numFmtId="164" fontId="29" fillId="0" borderId="3" xfId="19" applyFont="1" applyFill="1" applyBorder="1" applyAlignment="1" applyProtection="1">
      <alignment horizontal="center" vertical="center" wrapText="1"/>
      <protection hidden="1"/>
    </xf>
    <xf numFmtId="0" fontId="28" fillId="4" borderId="58" xfId="0" applyFont="1" applyFill="1" applyBorder="1" applyAlignment="1" applyProtection="1">
      <alignment horizontal="center" vertical="center" wrapText="1"/>
      <protection hidden="1"/>
    </xf>
    <xf numFmtId="0" fontId="29" fillId="8" borderId="14" xfId="0" applyFont="1" applyFill="1" applyBorder="1" applyAlignment="1" applyProtection="1">
      <alignment horizontal="center" vertical="center" wrapText="1"/>
      <protection hidden="1"/>
    </xf>
    <xf numFmtId="0" fontId="29" fillId="8" borderId="15" xfId="0" applyFont="1" applyFill="1" applyBorder="1" applyAlignment="1" applyProtection="1">
      <alignment horizontal="center" vertical="center" wrapText="1"/>
      <protection hidden="1"/>
    </xf>
    <xf numFmtId="0" fontId="28" fillId="0" borderId="8" xfId="0" applyFont="1" applyBorder="1" applyAlignment="1" applyProtection="1">
      <alignment horizontal="left" vertical="center" wrapText="1"/>
      <protection hidden="1"/>
    </xf>
    <xf numFmtId="0" fontId="28" fillId="0" borderId="7" xfId="0" applyFont="1" applyBorder="1" applyAlignment="1" applyProtection="1">
      <alignment horizontal="left" vertical="center" wrapText="1"/>
      <protection hidden="1"/>
    </xf>
    <xf numFmtId="0" fontId="29" fillId="8" borderId="22" xfId="0" applyFont="1" applyFill="1" applyBorder="1" applyAlignment="1" applyProtection="1">
      <alignment horizontal="center" vertical="center" wrapText="1"/>
      <protection hidden="1"/>
    </xf>
    <xf numFmtId="0" fontId="29" fillId="8" borderId="10" xfId="0" applyFont="1" applyFill="1" applyBorder="1" applyAlignment="1" applyProtection="1">
      <alignment horizontal="center" vertical="center" wrapText="1"/>
      <protection hidden="1"/>
    </xf>
    <xf numFmtId="0" fontId="29" fillId="8" borderId="3" xfId="0" applyFont="1" applyFill="1" applyBorder="1" applyAlignment="1" applyProtection="1">
      <alignment horizontal="center" vertical="center" wrapText="1"/>
      <protection hidden="1"/>
    </xf>
    <xf numFmtId="0" fontId="29" fillId="8" borderId="5" xfId="0" applyFont="1" applyFill="1" applyBorder="1" applyAlignment="1" applyProtection="1">
      <alignment horizontal="center" vertical="center" wrapText="1"/>
      <protection hidden="1"/>
    </xf>
    <xf numFmtId="10" fontId="28" fillId="10" borderId="8" xfId="0" applyNumberFormat="1" applyFont="1" applyFill="1" applyBorder="1" applyAlignment="1" applyProtection="1">
      <alignment horizontal="center" vertical="center"/>
      <protection hidden="1"/>
    </xf>
    <xf numFmtId="10" fontId="28" fillId="10" borderId="9" xfId="0" applyNumberFormat="1" applyFont="1" applyFill="1" applyBorder="1" applyAlignment="1" applyProtection="1">
      <alignment horizontal="center" vertical="center"/>
      <protection hidden="1"/>
    </xf>
    <xf numFmtId="10" fontId="28" fillId="10" borderId="3" xfId="0" applyNumberFormat="1" applyFont="1" applyFill="1" applyBorder="1" applyAlignment="1" applyProtection="1">
      <alignment horizontal="center" vertical="center"/>
      <protection hidden="1"/>
    </xf>
    <xf numFmtId="10" fontId="28" fillId="10" borderId="5" xfId="0" applyNumberFormat="1" applyFont="1" applyFill="1" applyBorder="1" applyAlignment="1" applyProtection="1">
      <alignment horizontal="center" vertical="center"/>
      <protection hidden="1"/>
    </xf>
    <xf numFmtId="0" fontId="28" fillId="0" borderId="9" xfId="0" applyFont="1" applyBorder="1" applyAlignment="1" applyProtection="1">
      <alignment horizontal="left" vertical="center" wrapText="1"/>
      <protection hidden="1"/>
    </xf>
    <xf numFmtId="0" fontId="29" fillId="0" borderId="8" xfId="0" applyFont="1" applyBorder="1" applyAlignment="1" applyProtection="1">
      <alignment horizontal="left" vertical="center" wrapText="1"/>
      <protection hidden="1"/>
    </xf>
    <xf numFmtId="0" fontId="29" fillId="0" borderId="7" xfId="0" applyFont="1" applyBorder="1" applyAlignment="1" applyProtection="1">
      <alignment horizontal="left" vertical="center" wrapText="1"/>
      <protection hidden="1"/>
    </xf>
    <xf numFmtId="0" fontId="29" fillId="0" borderId="9" xfId="0" applyFont="1" applyBorder="1" applyAlignment="1" applyProtection="1">
      <alignment horizontal="left" vertical="center" wrapText="1"/>
      <protection hidden="1"/>
    </xf>
    <xf numFmtId="0" fontId="29" fillId="0" borderId="58" xfId="0" applyFont="1" applyBorder="1" applyAlignment="1" applyProtection="1">
      <alignment horizontal="center" vertical="center"/>
      <protection hidden="1"/>
    </xf>
    <xf numFmtId="0" fontId="29" fillId="8" borderId="68" xfId="0" applyFont="1" applyFill="1" applyBorder="1" applyAlignment="1" applyProtection="1">
      <alignment horizontal="center" vertical="center"/>
      <protection hidden="1"/>
    </xf>
    <xf numFmtId="0" fontId="29" fillId="8" borderId="67" xfId="0" applyFont="1" applyFill="1" applyBorder="1" applyAlignment="1" applyProtection="1">
      <alignment horizontal="center" vertical="center"/>
      <protection hidden="1"/>
    </xf>
    <xf numFmtId="4" fontId="29" fillId="0" borderId="6" xfId="19" applyNumberFormat="1" applyFont="1" applyFill="1" applyBorder="1" applyAlignment="1" applyProtection="1">
      <alignment horizontal="center" vertical="center" wrapText="1"/>
      <protection hidden="1"/>
    </xf>
    <xf numFmtId="2" fontId="29" fillId="0" borderId="65" xfId="19" applyNumberFormat="1" applyFont="1" applyBorder="1" applyAlignment="1" applyProtection="1">
      <alignment horizontal="center" vertical="center" wrapText="1"/>
      <protection hidden="1"/>
    </xf>
    <xf numFmtId="2" fontId="29" fillId="0" borderId="15" xfId="19" applyNumberFormat="1" applyFont="1" applyBorder="1" applyAlignment="1" applyProtection="1">
      <alignment horizontal="center" vertical="center" wrapText="1"/>
      <protection hidden="1"/>
    </xf>
    <xf numFmtId="0" fontId="29" fillId="0" borderId="65" xfId="0" applyFont="1" applyBorder="1" applyAlignment="1" applyProtection="1">
      <alignment horizontal="center" vertical="center" wrapText="1"/>
      <protection hidden="1"/>
    </xf>
    <xf numFmtId="0" fontId="29" fillId="0" borderId="15" xfId="0" applyFont="1" applyBorder="1" applyAlignment="1" applyProtection="1">
      <alignment horizontal="center" vertical="center" wrapText="1"/>
      <protection hidden="1"/>
    </xf>
    <xf numFmtId="164" fontId="29" fillId="0" borderId="65" xfId="19" applyFont="1" applyFill="1" applyBorder="1" applyAlignment="1" applyProtection="1">
      <alignment horizontal="center" vertical="center" wrapText="1"/>
      <protection hidden="1"/>
    </xf>
    <xf numFmtId="164" fontId="29" fillId="0" borderId="68" xfId="19" applyFont="1" applyFill="1" applyBorder="1" applyAlignment="1" applyProtection="1">
      <alignment horizontal="center" vertical="center" wrapText="1"/>
      <protection hidden="1"/>
    </xf>
    <xf numFmtId="164" fontId="29" fillId="0" borderId="67" xfId="19" applyFont="1" applyFill="1" applyBorder="1" applyAlignment="1" applyProtection="1">
      <alignment horizontal="center" vertical="center" wrapText="1"/>
      <protection hidden="1"/>
    </xf>
    <xf numFmtId="0" fontId="53" fillId="12" borderId="68" xfId="0" applyFont="1" applyFill="1" applyBorder="1" applyAlignment="1">
      <alignment horizontal="center" vertical="center" wrapText="1"/>
    </xf>
    <xf numFmtId="0" fontId="53" fillId="12" borderId="67" xfId="0" applyFont="1" applyFill="1" applyBorder="1" applyAlignment="1">
      <alignment horizontal="center" vertical="center" wrapText="1"/>
    </xf>
    <xf numFmtId="0" fontId="28" fillId="4" borderId="68" xfId="0" applyFont="1" applyFill="1" applyBorder="1" applyAlignment="1" applyProtection="1">
      <alignment horizontal="center" vertical="center" wrapText="1"/>
      <protection hidden="1"/>
    </xf>
    <xf numFmtId="0" fontId="28" fillId="4" borderId="69" xfId="0" applyFont="1" applyFill="1" applyBorder="1" applyAlignment="1" applyProtection="1">
      <alignment horizontal="center" vertical="center" wrapText="1"/>
      <protection hidden="1"/>
    </xf>
    <xf numFmtId="0" fontId="28" fillId="4" borderId="67" xfId="0" applyFont="1" applyFill="1" applyBorder="1" applyAlignment="1" applyProtection="1">
      <alignment horizontal="center" vertical="center" wrapText="1"/>
      <protection hidden="1"/>
    </xf>
    <xf numFmtId="0" fontId="29" fillId="0" borderId="68" xfId="0" applyFont="1" applyBorder="1" applyAlignment="1" applyProtection="1">
      <alignment horizontal="center" vertical="center" wrapText="1"/>
      <protection hidden="1"/>
    </xf>
    <xf numFmtId="0" fontId="29" fillId="0" borderId="67" xfId="0" applyFont="1" applyBorder="1" applyAlignment="1" applyProtection="1">
      <alignment horizontal="center" vertical="center" wrapText="1"/>
      <protection hidden="1"/>
    </xf>
    <xf numFmtId="0" fontId="53" fillId="12" borderId="66" xfId="0" applyFont="1" applyFill="1" applyBorder="1" applyAlignment="1">
      <alignment horizontal="center" vertical="center" wrapText="1"/>
    </xf>
    <xf numFmtId="0" fontId="61" fillId="12" borderId="66" xfId="0" applyFont="1" applyFill="1" applyBorder="1" applyAlignment="1">
      <alignment horizontal="center" vertical="center" wrapText="1"/>
    </xf>
    <xf numFmtId="0" fontId="29" fillId="4" borderId="6" xfId="19" applyNumberFormat="1" applyFont="1" applyFill="1" applyBorder="1" applyAlignment="1" applyProtection="1">
      <alignment horizontal="right" vertical="center" wrapText="1"/>
      <protection hidden="1"/>
    </xf>
    <xf numFmtId="0" fontId="29" fillId="4" borderId="8" xfId="19" applyNumberFormat="1" applyFont="1" applyFill="1" applyBorder="1" applyAlignment="1" applyProtection="1">
      <alignment horizontal="right" vertical="center" wrapText="1"/>
      <protection hidden="1"/>
    </xf>
    <xf numFmtId="0" fontId="28" fillId="0" borderId="8" xfId="0" applyFont="1" applyBorder="1" applyAlignment="1" applyProtection="1">
      <alignment horizontal="justify" vertical="center" wrapText="1"/>
      <protection hidden="1"/>
    </xf>
    <xf numFmtId="0" fontId="28" fillId="0" borderId="7" xfId="0" applyFont="1" applyBorder="1" applyAlignment="1" applyProtection="1">
      <alignment horizontal="justify" vertical="center" wrapText="1"/>
      <protection hidden="1"/>
    </xf>
    <xf numFmtId="0" fontId="28" fillId="0" borderId="9" xfId="0" applyFont="1" applyBorder="1" applyAlignment="1" applyProtection="1">
      <alignment horizontal="justify" vertical="center" wrapText="1"/>
      <protection hidden="1"/>
    </xf>
    <xf numFmtId="0" fontId="29" fillId="0" borderId="8" xfId="0" applyFont="1" applyBorder="1" applyAlignment="1" applyProtection="1">
      <alignment horizontal="justify" vertical="center" wrapText="1"/>
      <protection hidden="1"/>
    </xf>
    <xf numFmtId="0" fontId="29" fillId="0" borderId="7" xfId="0" applyFont="1" applyBorder="1" applyAlignment="1" applyProtection="1">
      <alignment horizontal="justify" vertical="center" wrapText="1"/>
      <protection hidden="1"/>
    </xf>
    <xf numFmtId="0" fontId="29" fillId="0" borderId="9" xfId="0" applyFont="1" applyBorder="1" applyAlignment="1" applyProtection="1">
      <alignment horizontal="justify" vertical="center" wrapText="1"/>
      <protection hidden="1"/>
    </xf>
    <xf numFmtId="0" fontId="29" fillId="0" borderId="8" xfId="0" applyFont="1" applyBorder="1" applyAlignment="1" applyProtection="1">
      <alignment horizontal="center" vertical="center"/>
      <protection hidden="1"/>
    </xf>
    <xf numFmtId="0" fontId="29" fillId="0" borderId="7" xfId="0" applyFont="1" applyBorder="1" applyAlignment="1" applyProtection="1">
      <alignment horizontal="center" vertical="center"/>
      <protection hidden="1"/>
    </xf>
    <xf numFmtId="0" fontId="29" fillId="0" borderId="9" xfId="0" applyFont="1" applyBorder="1" applyAlignment="1" applyProtection="1">
      <alignment horizontal="center" vertical="center"/>
      <protection hidden="1"/>
    </xf>
    <xf numFmtId="4" fontId="29" fillId="0" borderId="8" xfId="12" applyNumberFormat="1" applyFont="1" applyBorder="1" applyAlignment="1" applyProtection="1">
      <alignment horizontal="right" vertical="center"/>
      <protection hidden="1"/>
    </xf>
    <xf numFmtId="4" fontId="29" fillId="0" borderId="7" xfId="12" applyNumberFormat="1" applyFont="1" applyBorder="1" applyAlignment="1" applyProtection="1">
      <alignment horizontal="right" vertical="center"/>
      <protection hidden="1"/>
    </xf>
    <xf numFmtId="4" fontId="29" fillId="0" borderId="9" xfId="12" applyNumberFormat="1" applyFont="1" applyBorder="1" applyAlignment="1" applyProtection="1">
      <alignment horizontal="right" vertical="center"/>
      <protection hidden="1"/>
    </xf>
    <xf numFmtId="4" fontId="28" fillId="0" borderId="6" xfId="12" applyNumberFormat="1" applyFont="1" applyBorder="1" applyAlignment="1" applyProtection="1">
      <alignment horizontal="center" vertical="center"/>
      <protection locked="0"/>
    </xf>
    <xf numFmtId="0" fontId="28" fillId="0" borderId="8" xfId="0" applyFont="1" applyBorder="1" applyAlignment="1">
      <alignment horizontal="center" vertical="center"/>
    </xf>
    <xf numFmtId="0" fontId="28" fillId="0" borderId="7" xfId="0" applyFont="1" applyBorder="1" applyAlignment="1">
      <alignment horizontal="center" vertical="center"/>
    </xf>
    <xf numFmtId="0" fontId="28" fillId="0" borderId="69" xfId="0" applyFont="1" applyBorder="1" applyAlignment="1">
      <alignment horizontal="center" vertical="center"/>
    </xf>
    <xf numFmtId="0" fontId="28" fillId="0" borderId="9" xfId="0" applyFont="1" applyBorder="1" applyAlignment="1">
      <alignment horizontal="center" vertical="center"/>
    </xf>
    <xf numFmtId="0" fontId="29" fillId="8" borderId="8" xfId="0" applyFont="1" applyFill="1" applyBorder="1" applyAlignment="1">
      <alignment horizontal="center" vertical="center"/>
    </xf>
    <xf numFmtId="0" fontId="29" fillId="8" borderId="9" xfId="0" applyFont="1" applyFill="1" applyBorder="1" applyAlignment="1">
      <alignment horizontal="center" vertical="center"/>
    </xf>
    <xf numFmtId="14" fontId="28" fillId="0" borderId="8" xfId="0" applyNumberFormat="1" applyFont="1" applyBorder="1" applyAlignment="1">
      <alignment horizontal="center" vertical="center"/>
    </xf>
    <xf numFmtId="14" fontId="28" fillId="0" borderId="9" xfId="0" applyNumberFormat="1" applyFont="1" applyBorder="1" applyAlignment="1">
      <alignment horizontal="center" vertical="center"/>
    </xf>
    <xf numFmtId="0" fontId="45" fillId="0" borderId="8"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69" xfId="0" applyFont="1" applyBorder="1" applyAlignment="1">
      <alignment horizontal="center" vertical="center" wrapText="1"/>
    </xf>
    <xf numFmtId="0" fontId="45" fillId="0" borderId="9" xfId="0" applyFont="1" applyBorder="1" applyAlignment="1">
      <alignment horizontal="center" vertical="center" wrapText="1"/>
    </xf>
    <xf numFmtId="0" fontId="29" fillId="0" borderId="6" xfId="12" applyFont="1" applyBorder="1" applyAlignment="1" applyProtection="1">
      <alignment horizontal="center" vertical="center" wrapText="1"/>
      <protection locked="0"/>
    </xf>
    <xf numFmtId="0" fontId="29" fillId="0" borderId="22" xfId="12" applyFont="1" applyBorder="1" applyAlignment="1" applyProtection="1">
      <alignment horizontal="center" vertical="center" wrapText="1"/>
      <protection locked="0"/>
    </xf>
    <xf numFmtId="0" fontId="29" fillId="0" borderId="10" xfId="12" applyFont="1" applyBorder="1" applyAlignment="1" applyProtection="1">
      <alignment horizontal="center" vertical="center" wrapText="1"/>
      <protection locked="0"/>
    </xf>
    <xf numFmtId="164" fontId="29" fillId="0" borderId="7" xfId="20" applyFont="1" applyFill="1" applyBorder="1" applyAlignment="1" applyProtection="1">
      <alignment horizontal="center" vertical="center" wrapText="1"/>
      <protection locked="0"/>
    </xf>
    <xf numFmtId="0" fontId="29" fillId="8" borderId="7" xfId="0" applyFont="1" applyFill="1" applyBorder="1" applyAlignment="1">
      <alignment horizontal="center" vertical="center"/>
    </xf>
    <xf numFmtId="0" fontId="29" fillId="8" borderId="69" xfId="0" applyFont="1" applyFill="1" applyBorder="1" applyAlignment="1">
      <alignment horizontal="center" vertical="center"/>
    </xf>
    <xf numFmtId="0" fontId="29" fillId="0" borderId="6" xfId="0" applyFont="1" applyBorder="1" applyAlignment="1">
      <alignment horizontal="center" vertical="center"/>
    </xf>
    <xf numFmtId="0" fontId="29" fillId="0" borderId="66" xfId="0" applyFont="1" applyBorder="1" applyAlignment="1">
      <alignment horizontal="center" vertical="center"/>
    </xf>
    <xf numFmtId="0" fontId="50" fillId="11" borderId="8" xfId="0" applyFont="1" applyFill="1" applyBorder="1" applyAlignment="1">
      <alignment horizontal="center" vertical="center"/>
    </xf>
    <xf numFmtId="0" fontId="50" fillId="11" borderId="7" xfId="0" applyFont="1" applyFill="1" applyBorder="1" applyAlignment="1">
      <alignment horizontal="center" vertical="center"/>
    </xf>
    <xf numFmtId="0" fontId="50" fillId="11" borderId="9" xfId="0" applyFont="1" applyFill="1" applyBorder="1" applyAlignment="1">
      <alignment horizontal="center" vertical="center"/>
    </xf>
    <xf numFmtId="4" fontId="26" fillId="0" borderId="8" xfId="0" applyNumberFormat="1" applyFont="1" applyBorder="1" applyAlignment="1">
      <alignment horizontal="center" vertical="center"/>
    </xf>
    <xf numFmtId="4" fontId="26" fillId="0" borderId="9" xfId="0" applyNumberFormat="1" applyFont="1" applyBorder="1" applyAlignment="1">
      <alignment horizontal="center" vertical="center"/>
    </xf>
    <xf numFmtId="0" fontId="28" fillId="0" borderId="6" xfId="0" applyFont="1" applyBorder="1" applyAlignment="1" applyProtection="1">
      <alignment horizontal="center" vertical="center"/>
      <protection hidden="1"/>
    </xf>
    <xf numFmtId="14" fontId="28" fillId="0" borderId="6" xfId="0" applyNumberFormat="1" applyFont="1" applyBorder="1" applyAlignment="1" applyProtection="1">
      <alignment horizontal="center" vertical="center"/>
      <protection hidden="1"/>
    </xf>
    <xf numFmtId="0" fontId="29" fillId="8" borderId="8" xfId="0" applyFont="1" applyFill="1" applyBorder="1" applyAlignment="1" applyProtection="1">
      <alignment horizontal="left" vertical="center"/>
      <protection hidden="1"/>
    </xf>
    <xf numFmtId="0" fontId="29" fillId="8" borderId="9" xfId="0" applyFont="1" applyFill="1" applyBorder="1" applyAlignment="1" applyProtection="1">
      <alignment horizontal="left" vertical="center"/>
      <protection hidden="1"/>
    </xf>
    <xf numFmtId="0" fontId="29" fillId="0" borderId="22" xfId="0" applyFont="1" applyBorder="1" applyAlignment="1" applyProtection="1">
      <alignment horizontal="center" vertical="center"/>
      <protection hidden="1"/>
    </xf>
    <xf numFmtId="0" fontId="29" fillId="0" borderId="21" xfId="0" applyFont="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0" fontId="13" fillId="5" borderId="90" xfId="12" applyFont="1" applyFill="1" applyBorder="1" applyAlignment="1">
      <alignment horizontal="left" vertical="center"/>
    </xf>
    <xf numFmtId="0" fontId="6" fillId="5" borderId="3" xfId="12" applyFont="1" applyFill="1" applyBorder="1" applyAlignment="1">
      <alignment horizontal="justify" vertical="top" wrapText="1"/>
    </xf>
    <xf numFmtId="0" fontId="6" fillId="5" borderId="4" xfId="12" applyFont="1" applyFill="1" applyBorder="1" applyAlignment="1">
      <alignment horizontal="justify" vertical="top" wrapText="1"/>
    </xf>
    <xf numFmtId="0" fontId="14" fillId="8" borderId="3" xfId="12" applyFont="1" applyFill="1" applyBorder="1" applyAlignment="1">
      <alignment horizontal="center" vertical="center"/>
    </xf>
    <xf numFmtId="0" fontId="14" fillId="8" borderId="4" xfId="12" applyFont="1" applyFill="1" applyBorder="1" applyAlignment="1">
      <alignment horizontal="center" vertical="center"/>
    </xf>
    <xf numFmtId="0" fontId="14" fillId="8" borderId="5" xfId="12" applyFont="1" applyFill="1" applyBorder="1" applyAlignment="1">
      <alignment horizontal="center" vertical="center"/>
    </xf>
    <xf numFmtId="0" fontId="14" fillId="8" borderId="86" xfId="12" applyFont="1" applyFill="1" applyBorder="1" applyAlignment="1">
      <alignment horizontal="right" vertical="center"/>
    </xf>
    <xf numFmtId="0" fontId="14" fillId="8" borderId="85" xfId="12" applyFont="1" applyFill="1" applyBorder="1" applyAlignment="1">
      <alignment horizontal="right" vertical="center"/>
    </xf>
    <xf numFmtId="0" fontId="14" fillId="8" borderId="87" xfId="12" applyFont="1" applyFill="1" applyBorder="1" applyAlignment="1">
      <alignment horizontal="right" vertical="center"/>
    </xf>
    <xf numFmtId="0" fontId="14" fillId="8" borderId="86" xfId="12" applyFont="1" applyFill="1" applyBorder="1" applyAlignment="1">
      <alignment horizontal="center" vertical="center"/>
    </xf>
    <xf numFmtId="0" fontId="14" fillId="8" borderId="85" xfId="12" applyFont="1" applyFill="1" applyBorder="1" applyAlignment="1">
      <alignment horizontal="center" vertical="center"/>
    </xf>
    <xf numFmtId="0" fontId="14" fillId="8" borderId="87" xfId="12" applyFont="1" applyFill="1" applyBorder="1" applyAlignment="1">
      <alignment horizontal="center" vertical="center"/>
    </xf>
    <xf numFmtId="0" fontId="14" fillId="4" borderId="86" xfId="12" applyFont="1" applyFill="1" applyBorder="1" applyAlignment="1">
      <alignment horizontal="right" vertical="center"/>
    </xf>
    <xf numFmtId="0" fontId="14" fillId="4" borderId="85" xfId="12" applyFont="1" applyFill="1" applyBorder="1" applyAlignment="1">
      <alignment horizontal="right" vertical="center"/>
    </xf>
    <xf numFmtId="0" fontId="14" fillId="4" borderId="78" xfId="12" applyFont="1" applyFill="1" applyBorder="1" applyAlignment="1">
      <alignment horizontal="right" vertical="center"/>
    </xf>
    <xf numFmtId="0" fontId="6" fillId="5" borderId="3" xfId="12" applyFont="1" applyFill="1" applyBorder="1" applyAlignment="1">
      <alignment horizontal="justify" vertical="center" wrapText="1"/>
    </xf>
    <xf numFmtId="0" fontId="6" fillId="5" borderId="4" xfId="12" applyFont="1" applyFill="1" applyBorder="1" applyAlignment="1">
      <alignment horizontal="justify" vertical="center" wrapText="1"/>
    </xf>
    <xf numFmtId="0" fontId="14" fillId="8" borderId="8" xfId="12" applyFont="1" applyFill="1" applyBorder="1" applyAlignment="1">
      <alignment horizontal="right" vertical="center"/>
    </xf>
    <xf numFmtId="0" fontId="14" fillId="8" borderId="7" xfId="12" applyFont="1" applyFill="1" applyBorder="1" applyAlignment="1">
      <alignment horizontal="right" vertical="center"/>
    </xf>
    <xf numFmtId="0" fontId="14" fillId="8" borderId="9" xfId="12" applyFont="1" applyFill="1" applyBorder="1" applyAlignment="1">
      <alignment horizontal="right" vertical="center"/>
    </xf>
    <xf numFmtId="0" fontId="14" fillId="8" borderId="8" xfId="12" applyFont="1" applyFill="1" applyBorder="1" applyAlignment="1">
      <alignment horizontal="center" vertical="center"/>
    </xf>
    <xf numFmtId="0" fontId="14" fillId="8" borderId="7" xfId="12" applyFont="1" applyFill="1" applyBorder="1" applyAlignment="1">
      <alignment horizontal="center" vertical="center"/>
    </xf>
    <xf numFmtId="0" fontId="14" fillId="8" borderId="9" xfId="12" applyFont="1" applyFill="1" applyBorder="1" applyAlignment="1">
      <alignment horizontal="center" vertical="center"/>
    </xf>
    <xf numFmtId="0" fontId="14" fillId="4" borderId="8" xfId="12" applyFont="1" applyFill="1" applyBorder="1" applyAlignment="1">
      <alignment horizontal="right" vertical="center"/>
    </xf>
    <xf numFmtId="0" fontId="14" fillId="4" borderId="7" xfId="12" applyFont="1" applyFill="1" applyBorder="1" applyAlignment="1">
      <alignment horizontal="right" vertical="center"/>
    </xf>
    <xf numFmtId="0" fontId="14" fillId="4" borderId="32" xfId="12" applyFont="1" applyFill="1" applyBorder="1" applyAlignment="1">
      <alignment horizontal="right" vertical="center"/>
    </xf>
    <xf numFmtId="0" fontId="13" fillId="5" borderId="14" xfId="12" applyFont="1" applyFill="1" applyBorder="1" applyAlignment="1">
      <alignment horizontal="left" vertical="center"/>
    </xf>
    <xf numFmtId="0" fontId="6" fillId="5" borderId="3" xfId="12" applyFont="1" applyFill="1" applyBorder="1" applyAlignment="1">
      <alignment horizontal="left" vertical="top" wrapText="1"/>
    </xf>
    <xf numFmtId="0" fontId="6" fillId="5" borderId="4" xfId="12" applyFont="1" applyFill="1" applyBorder="1" applyAlignment="1">
      <alignment horizontal="left" vertical="top" wrapText="1"/>
    </xf>
    <xf numFmtId="0" fontId="29" fillId="0" borderId="6" xfId="0" applyFont="1" applyBorder="1" applyAlignment="1" applyProtection="1">
      <alignment horizontal="center" vertical="center"/>
      <protection hidden="1"/>
    </xf>
    <xf numFmtId="0" fontId="45" fillId="0" borderId="22" xfId="0" applyFont="1" applyBorder="1" applyAlignment="1" applyProtection="1">
      <alignment horizontal="center" vertical="center" wrapText="1"/>
      <protection hidden="1"/>
    </xf>
    <xf numFmtId="0" fontId="45" fillId="0" borderId="21" xfId="0" applyFont="1" applyBorder="1" applyAlignment="1" applyProtection="1">
      <alignment horizontal="center" vertical="center" wrapText="1"/>
      <protection hidden="1"/>
    </xf>
    <xf numFmtId="0" fontId="45" fillId="0" borderId="10" xfId="0" applyFont="1" applyBorder="1" applyAlignment="1" applyProtection="1">
      <alignment horizontal="center" vertical="center" wrapText="1"/>
      <protection hidden="1"/>
    </xf>
    <xf numFmtId="0" fontId="45" fillId="0" borderId="3" xfId="0" applyFont="1" applyBorder="1" applyAlignment="1" applyProtection="1">
      <alignment horizontal="center" vertical="center" wrapText="1"/>
      <protection hidden="1"/>
    </xf>
    <xf numFmtId="0" fontId="45" fillId="0" borderId="4" xfId="0" applyFont="1" applyBorder="1" applyAlignment="1" applyProtection="1">
      <alignment horizontal="center" vertical="center" wrapText="1"/>
      <protection hidden="1"/>
    </xf>
    <xf numFmtId="0" fontId="45" fillId="0" borderId="5" xfId="0" applyFont="1" applyBorder="1" applyAlignment="1" applyProtection="1">
      <alignment horizontal="center" vertical="center" wrapText="1"/>
      <protection hidden="1"/>
    </xf>
    <xf numFmtId="0" fontId="28" fillId="0" borderId="86" xfId="0" applyFont="1" applyBorder="1" applyAlignment="1" applyProtection="1">
      <alignment horizontal="center" vertical="center"/>
      <protection hidden="1"/>
    </xf>
    <xf numFmtId="0" fontId="28" fillId="0" borderId="87" xfId="0" applyFont="1" applyBorder="1" applyAlignment="1" applyProtection="1">
      <alignment horizontal="center" vertical="center"/>
      <protection hidden="1"/>
    </xf>
    <xf numFmtId="14" fontId="28" fillId="0" borderId="86" xfId="0" applyNumberFormat="1" applyFont="1" applyBorder="1" applyAlignment="1" applyProtection="1">
      <alignment horizontal="center" vertical="center"/>
      <protection hidden="1"/>
    </xf>
    <xf numFmtId="14" fontId="28" fillId="0" borderId="87" xfId="0" applyNumberFormat="1" applyFont="1" applyBorder="1" applyAlignment="1" applyProtection="1">
      <alignment horizontal="center" vertical="center"/>
      <protection hidden="1"/>
    </xf>
    <xf numFmtId="0" fontId="13" fillId="5" borderId="22" xfId="12" applyFont="1" applyFill="1" applyBorder="1" applyAlignment="1">
      <alignment horizontal="left" vertical="center"/>
    </xf>
    <xf numFmtId="0" fontId="13" fillId="5" borderId="21" xfId="12" applyFont="1" applyFill="1" applyBorder="1" applyAlignment="1">
      <alignment horizontal="left" vertical="center"/>
    </xf>
    <xf numFmtId="0" fontId="13" fillId="5" borderId="10" xfId="12" applyFont="1" applyFill="1" applyBorder="1" applyAlignment="1">
      <alignment horizontal="left" vertical="center"/>
    </xf>
    <xf numFmtId="0" fontId="6" fillId="5" borderId="3" xfId="12" applyFont="1" applyFill="1" applyBorder="1" applyAlignment="1">
      <alignment horizontal="left" vertical="center" wrapText="1"/>
    </xf>
    <xf numFmtId="0" fontId="6" fillId="5" borderId="4" xfId="12" applyFont="1" applyFill="1" applyBorder="1" applyAlignment="1">
      <alignment horizontal="left" vertical="center" wrapText="1"/>
    </xf>
    <xf numFmtId="0" fontId="13" fillId="5" borderId="75" xfId="12" applyFont="1" applyFill="1" applyBorder="1" applyAlignment="1">
      <alignment horizontal="left" vertical="center"/>
    </xf>
    <xf numFmtId="0" fontId="13" fillId="5" borderId="74" xfId="12" applyFont="1" applyFill="1" applyBorder="1" applyAlignment="1">
      <alignment horizontal="left" vertical="center"/>
    </xf>
    <xf numFmtId="0" fontId="13" fillId="5" borderId="88" xfId="12" applyFont="1" applyFill="1" applyBorder="1" applyAlignment="1">
      <alignment horizontal="left" vertical="center"/>
    </xf>
    <xf numFmtId="0" fontId="28" fillId="10" borderId="22" xfId="0" applyFont="1" applyFill="1" applyBorder="1" applyAlignment="1" applyProtection="1">
      <alignment horizontal="center" vertical="center" wrapText="1"/>
      <protection hidden="1"/>
    </xf>
    <xf numFmtId="0" fontId="28" fillId="10" borderId="21" xfId="0" applyFont="1" applyFill="1" applyBorder="1" applyAlignment="1" applyProtection="1">
      <alignment horizontal="center" vertical="center" wrapText="1"/>
      <protection hidden="1"/>
    </xf>
    <xf numFmtId="0" fontId="28" fillId="10" borderId="88" xfId="0" applyFont="1" applyFill="1" applyBorder="1" applyAlignment="1" applyProtection="1">
      <alignment horizontal="center" vertical="center" wrapText="1"/>
      <protection hidden="1"/>
    </xf>
    <xf numFmtId="0" fontId="28" fillId="10" borderId="3" xfId="0" applyFont="1" applyFill="1" applyBorder="1" applyAlignment="1" applyProtection="1">
      <alignment horizontal="center" vertical="center" wrapText="1"/>
      <protection hidden="1"/>
    </xf>
    <xf numFmtId="0" fontId="28" fillId="10" borderId="4" xfId="0" applyFont="1" applyFill="1" applyBorder="1" applyAlignment="1" applyProtection="1">
      <alignment horizontal="center" vertical="center" wrapText="1"/>
      <protection hidden="1"/>
    </xf>
    <xf numFmtId="0" fontId="28" fillId="10" borderId="5" xfId="0" applyFont="1" applyFill="1" applyBorder="1" applyAlignment="1" applyProtection="1">
      <alignment horizontal="center" vertical="center" wrapText="1"/>
      <protection hidden="1"/>
    </xf>
    <xf numFmtId="4" fontId="14" fillId="8" borderId="6" xfId="12" applyNumberFormat="1" applyFont="1" applyFill="1" applyBorder="1" applyAlignment="1">
      <alignment horizontal="center" vertical="center" wrapText="1"/>
    </xf>
    <xf numFmtId="0" fontId="6" fillId="8" borderId="8" xfId="12" applyFont="1" applyFill="1" applyBorder="1" applyAlignment="1">
      <alignment horizontal="center" vertical="center"/>
    </xf>
    <xf numFmtId="0" fontId="6" fillId="8" borderId="7" xfId="12" applyFont="1" applyFill="1" applyBorder="1" applyAlignment="1">
      <alignment horizontal="center" vertical="center"/>
    </xf>
    <xf numFmtId="0" fontId="6" fillId="8" borderId="9" xfId="12" applyFont="1" applyFill="1" applyBorder="1" applyAlignment="1">
      <alignment horizontal="center" vertical="center"/>
    </xf>
    <xf numFmtId="0" fontId="6" fillId="8" borderId="6" xfId="12" applyFont="1" applyFill="1" applyBorder="1" applyAlignment="1">
      <alignment horizontal="center" vertical="center"/>
    </xf>
    <xf numFmtId="0" fontId="14" fillId="8" borderId="33" xfId="12" applyFont="1" applyFill="1" applyBorder="1" applyAlignment="1">
      <alignment horizontal="center" vertical="center"/>
    </xf>
    <xf numFmtId="0" fontId="14" fillId="8" borderId="34" xfId="12" applyFont="1" applyFill="1" applyBorder="1" applyAlignment="1">
      <alignment horizontal="center" vertical="center"/>
    </xf>
    <xf numFmtId="0" fontId="28" fillId="4" borderId="8" xfId="0" applyFont="1" applyFill="1" applyBorder="1" applyAlignment="1" applyProtection="1">
      <alignment horizontal="center" vertical="center" wrapText="1"/>
      <protection hidden="1"/>
    </xf>
    <xf numFmtId="0" fontId="28" fillId="4" borderId="7" xfId="0" applyFont="1" applyFill="1" applyBorder="1" applyAlignment="1" applyProtection="1">
      <alignment horizontal="center" vertical="center" wrapText="1"/>
      <protection hidden="1"/>
    </xf>
    <xf numFmtId="0" fontId="28" fillId="4" borderId="9" xfId="0" applyFont="1" applyFill="1" applyBorder="1" applyAlignment="1" applyProtection="1">
      <alignment horizontal="center" vertical="center" wrapText="1"/>
      <protection hidden="1"/>
    </xf>
    <xf numFmtId="0" fontId="9" fillId="0" borderId="8" xfId="12" applyFont="1" applyBorder="1" applyAlignment="1">
      <alignment horizontal="left" vertical="center" wrapText="1"/>
    </xf>
    <xf numFmtId="0" fontId="9" fillId="0" borderId="7" xfId="12" applyFont="1" applyBorder="1" applyAlignment="1">
      <alignment horizontal="left" vertical="center" wrapText="1"/>
    </xf>
    <xf numFmtId="0" fontId="9" fillId="0" borderId="9" xfId="12" applyFont="1" applyBorder="1" applyAlignment="1">
      <alignment horizontal="left" vertical="center" wrapText="1"/>
    </xf>
    <xf numFmtId="0" fontId="14" fillId="8" borderId="33" xfId="12" applyFont="1" applyFill="1" applyBorder="1" applyAlignment="1">
      <alignment horizontal="justify" vertical="center" wrapText="1"/>
    </xf>
    <xf numFmtId="0" fontId="14" fillId="8" borderId="34" xfId="12" applyFont="1" applyFill="1" applyBorder="1" applyAlignment="1">
      <alignment horizontal="justify" vertical="center" wrapText="1"/>
    </xf>
    <xf numFmtId="0" fontId="28" fillId="4" borderId="14" xfId="0" applyFont="1" applyFill="1" applyBorder="1" applyAlignment="1" applyProtection="1">
      <alignment horizontal="center" vertical="center" wrapText="1"/>
      <protection hidden="1"/>
    </xf>
    <xf numFmtId="0" fontId="28" fillId="4" borderId="15" xfId="0" applyFont="1" applyFill="1" applyBorder="1" applyAlignment="1" applyProtection="1">
      <alignment horizontal="center" vertical="center" wrapText="1"/>
      <protection hidden="1"/>
    </xf>
    <xf numFmtId="0" fontId="45" fillId="0" borderId="6" xfId="0" applyFont="1" applyBorder="1" applyAlignment="1" applyProtection="1">
      <alignment horizontal="center" vertical="center" wrapText="1"/>
      <protection hidden="1"/>
    </xf>
    <xf numFmtId="0" fontId="0" fillId="0" borderId="0" xfId="0" applyAlignment="1">
      <alignment horizontal="left" vertical="center" wrapText="1"/>
    </xf>
    <xf numFmtId="0" fontId="45" fillId="0" borderId="1" xfId="0" applyFont="1" applyBorder="1" applyAlignment="1" applyProtection="1">
      <alignment horizontal="center" vertical="center" wrapText="1"/>
      <protection hidden="1"/>
    </xf>
    <xf numFmtId="0" fontId="45" fillId="0" borderId="0" xfId="0" applyFont="1" applyAlignment="1" applyProtection="1">
      <alignment horizontal="center" vertical="center" wrapText="1"/>
      <protection hidden="1"/>
    </xf>
    <xf numFmtId="0" fontId="45" fillId="0" borderId="2" xfId="0" applyFont="1" applyBorder="1" applyAlignment="1" applyProtection="1">
      <alignment horizontal="center" vertical="center" wrapText="1"/>
      <protection hidden="1"/>
    </xf>
    <xf numFmtId="0" fontId="29" fillId="6" borderId="37" xfId="8" applyFont="1" applyFill="1" applyBorder="1" applyAlignment="1">
      <alignment horizontal="left" vertical="center" wrapText="1"/>
    </xf>
    <xf numFmtId="0" fontId="29" fillId="6" borderId="38" xfId="8" applyFont="1" applyFill="1" applyBorder="1" applyAlignment="1">
      <alignment horizontal="left" vertical="center" wrapText="1"/>
    </xf>
    <xf numFmtId="4" fontId="34" fillId="0" borderId="40" xfId="8" applyNumberFormat="1" applyFont="1" applyBorder="1" applyAlignment="1" applyProtection="1">
      <alignment horizontal="center" vertical="center" wrapText="1"/>
      <protection hidden="1"/>
    </xf>
    <xf numFmtId="4" fontId="34" fillId="0" borderId="50" xfId="8" applyNumberFormat="1" applyFont="1" applyBorder="1" applyAlignment="1" applyProtection="1">
      <alignment horizontal="center" vertical="center" wrapText="1"/>
      <protection hidden="1"/>
    </xf>
    <xf numFmtId="0" fontId="12" fillId="0" borderId="40" xfId="8" applyFont="1" applyBorder="1" applyAlignment="1">
      <alignment horizontal="center" vertical="center"/>
    </xf>
    <xf numFmtId="0" fontId="38" fillId="8" borderId="41" xfId="0" applyFont="1" applyFill="1" applyBorder="1" applyAlignment="1">
      <alignment horizontal="center" vertical="center" wrapText="1"/>
    </xf>
    <xf numFmtId="0" fontId="38" fillId="8" borderId="42" xfId="0" applyFont="1" applyFill="1" applyBorder="1" applyAlignment="1">
      <alignment horizontal="center" vertical="center" wrapText="1"/>
    </xf>
    <xf numFmtId="0" fontId="38" fillId="8" borderId="43" xfId="0" applyFont="1" applyFill="1" applyBorder="1" applyAlignment="1">
      <alignment horizontal="center" vertical="center" wrapText="1"/>
    </xf>
    <xf numFmtId="0" fontId="38" fillId="8" borderId="44" xfId="0" applyFont="1" applyFill="1" applyBorder="1" applyAlignment="1">
      <alignment horizontal="center" vertical="center" wrapText="1"/>
    </xf>
    <xf numFmtId="0" fontId="38" fillId="8" borderId="45" xfId="0" applyFont="1" applyFill="1" applyBorder="1" applyAlignment="1">
      <alignment horizontal="center" vertical="center" wrapText="1"/>
    </xf>
    <xf numFmtId="0" fontId="38" fillId="8" borderId="46" xfId="0" applyFont="1" applyFill="1" applyBorder="1" applyAlignment="1">
      <alignment horizontal="center" vertical="center" wrapText="1"/>
    </xf>
    <xf numFmtId="0" fontId="38" fillId="0" borderId="47" xfId="0" applyFont="1" applyBorder="1" applyAlignment="1">
      <alignment horizontal="center"/>
    </xf>
    <xf numFmtId="0" fontId="38" fillId="0" borderId="48" xfId="0" applyFont="1" applyBorder="1" applyAlignment="1">
      <alignment horizontal="center"/>
    </xf>
    <xf numFmtId="0" fontId="38" fillId="0" borderId="49" xfId="0" applyFont="1" applyBorder="1" applyAlignment="1">
      <alignment horizontal="center"/>
    </xf>
    <xf numFmtId="0" fontId="34" fillId="0" borderId="39" xfId="8" applyFont="1" applyBorder="1" applyAlignment="1">
      <alignment horizontal="left" vertical="center" wrapText="1"/>
    </xf>
    <xf numFmtId="0" fontId="34" fillId="0" borderId="40" xfId="8" applyFont="1" applyBorder="1" applyAlignment="1">
      <alignment horizontal="left" vertical="center" wrapText="1"/>
    </xf>
    <xf numFmtId="0" fontId="34" fillId="0" borderId="19" xfId="8" applyFont="1" applyBorder="1" applyAlignment="1">
      <alignment horizontal="left" vertical="center" wrapText="1"/>
    </xf>
    <xf numFmtId="0" fontId="33" fillId="7" borderId="39" xfId="8" applyFont="1" applyFill="1" applyBorder="1" applyAlignment="1">
      <alignment horizontal="left" vertical="center" wrapText="1"/>
    </xf>
    <xf numFmtId="0" fontId="33" fillId="7" borderId="40" xfId="8" applyFont="1" applyFill="1" applyBorder="1" applyAlignment="1">
      <alignment horizontal="left" vertical="center" wrapText="1"/>
    </xf>
    <xf numFmtId="169" fontId="34" fillId="9" borderId="20" xfId="6" applyFont="1" applyFill="1" applyBorder="1" applyAlignment="1" applyProtection="1">
      <alignment horizontal="center" vertical="center" wrapText="1"/>
      <protection hidden="1"/>
    </xf>
    <xf numFmtId="169" fontId="34" fillId="9" borderId="53" xfId="6" applyFont="1" applyFill="1" applyBorder="1" applyAlignment="1" applyProtection="1">
      <alignment horizontal="center" vertical="center" wrapText="1"/>
      <protection hidden="1"/>
    </xf>
    <xf numFmtId="169" fontId="34" fillId="9" borderId="12" xfId="6" applyFont="1" applyFill="1" applyBorder="1" applyAlignment="1" applyProtection="1">
      <alignment horizontal="center" vertical="center" wrapText="1"/>
      <protection hidden="1"/>
    </xf>
    <xf numFmtId="0" fontId="28" fillId="0" borderId="39" xfId="8" applyFont="1" applyBorder="1" applyAlignment="1">
      <alignment horizontal="left" vertical="center" wrapText="1"/>
    </xf>
    <xf numFmtId="0" fontId="28" fillId="0" borderId="40" xfId="8" applyFont="1" applyBorder="1" applyAlignment="1">
      <alignment horizontal="left" vertical="center" wrapText="1"/>
    </xf>
    <xf numFmtId="0" fontId="28" fillId="0" borderId="19" xfId="8" applyFont="1" applyBorder="1" applyAlignment="1">
      <alignment horizontal="left" vertical="center" wrapText="1"/>
    </xf>
    <xf numFmtId="0" fontId="40" fillId="8" borderId="4" xfId="0" applyFont="1" applyFill="1" applyBorder="1" applyAlignment="1">
      <alignment horizontal="center" vertical="top"/>
    </xf>
    <xf numFmtId="10" fontId="26" fillId="0" borderId="35" xfId="0" applyNumberFormat="1" applyFont="1" applyBorder="1" applyAlignment="1">
      <alignment horizontal="center" vertical="center"/>
    </xf>
    <xf numFmtId="10" fontId="26" fillId="0" borderId="36" xfId="0" applyNumberFormat="1" applyFont="1" applyBorder="1" applyAlignment="1">
      <alignment horizontal="center" vertical="center"/>
    </xf>
    <xf numFmtId="0" fontId="12" fillId="0" borderId="51" xfId="8" applyFont="1" applyBorder="1" applyAlignment="1">
      <alignment horizontal="right" vertical="center"/>
    </xf>
    <xf numFmtId="0" fontId="12" fillId="0" borderId="52" xfId="8" applyFont="1" applyBorder="1" applyAlignment="1">
      <alignment horizontal="right" vertical="center"/>
    </xf>
    <xf numFmtId="0" fontId="39" fillId="8" borderId="22" xfId="0" applyFont="1" applyFill="1" applyBorder="1" applyAlignment="1">
      <alignment horizontal="center" vertical="center" wrapText="1"/>
    </xf>
    <xf numFmtId="0" fontId="39" fillId="8" borderId="21" xfId="0" applyFont="1" applyFill="1" applyBorder="1" applyAlignment="1">
      <alignment horizontal="center" vertical="center"/>
    </xf>
    <xf numFmtId="0" fontId="39" fillId="8" borderId="10" xfId="0" applyFont="1" applyFill="1" applyBorder="1" applyAlignment="1">
      <alignment horizontal="center" vertical="center"/>
    </xf>
    <xf numFmtId="0" fontId="31" fillId="0" borderId="8" xfId="0" applyFont="1" applyBorder="1" applyAlignment="1">
      <alignment horizontal="center" vertical="center"/>
    </xf>
    <xf numFmtId="0" fontId="31" fillId="0" borderId="7" xfId="0" applyFont="1" applyBorder="1" applyAlignment="1">
      <alignment horizontal="center" vertical="center"/>
    </xf>
    <xf numFmtId="0" fontId="31" fillId="0" borderId="9" xfId="0" applyFont="1" applyBorder="1" applyAlignment="1">
      <alignment horizontal="center" vertical="center"/>
    </xf>
    <xf numFmtId="0" fontId="31" fillId="0" borderId="86" xfId="0" applyFont="1" applyBorder="1" applyAlignment="1">
      <alignment horizontal="center" vertical="center"/>
    </xf>
    <xf numFmtId="0" fontId="31" fillId="0" borderId="85" xfId="0" applyFont="1" applyBorder="1" applyAlignment="1">
      <alignment horizontal="center" vertical="center"/>
    </xf>
    <xf numFmtId="0" fontId="31" fillId="0" borderId="87" xfId="0" applyFont="1" applyBorder="1" applyAlignment="1">
      <alignment horizontal="center" vertical="center"/>
    </xf>
    <xf numFmtId="0" fontId="33" fillId="7" borderId="81" xfId="8" applyFont="1" applyFill="1" applyBorder="1" applyAlignment="1">
      <alignment horizontal="left" vertical="center" wrapText="1"/>
    </xf>
    <xf numFmtId="0" fontId="33" fillId="7" borderId="82" xfId="8" applyFont="1" applyFill="1" applyBorder="1" applyAlignment="1">
      <alignment horizontal="left" vertical="center" wrapText="1"/>
    </xf>
    <xf numFmtId="0" fontId="34" fillId="0" borderId="81" xfId="8" applyFont="1" applyBorder="1" applyAlignment="1">
      <alignment horizontal="left" vertical="center" wrapText="1"/>
    </xf>
    <xf numFmtId="0" fontId="34" fillId="0" borderId="82" xfId="8" applyFont="1" applyBorder="1" applyAlignment="1">
      <alignment horizontal="left" vertical="center" wrapText="1"/>
    </xf>
    <xf numFmtId="0" fontId="34" fillId="0" borderId="72" xfId="8" applyFont="1" applyBorder="1" applyAlignment="1">
      <alignment horizontal="left" vertical="center" wrapText="1"/>
    </xf>
    <xf numFmtId="0" fontId="29" fillId="6" borderId="79" xfId="8" applyFont="1" applyFill="1" applyBorder="1" applyAlignment="1">
      <alignment horizontal="left" vertical="center" wrapText="1"/>
    </xf>
    <xf numFmtId="0" fontId="29" fillId="6" borderId="80" xfId="8" applyFont="1" applyFill="1" applyBorder="1" applyAlignment="1">
      <alignment horizontal="left" vertical="center" wrapText="1"/>
    </xf>
    <xf numFmtId="0" fontId="28" fillId="0" borderId="81" xfId="8" applyFont="1" applyBorder="1" applyAlignment="1">
      <alignment horizontal="left" vertical="center" wrapText="1"/>
    </xf>
    <xf numFmtId="0" fontId="28" fillId="0" borderId="82" xfId="8" applyFont="1" applyBorder="1" applyAlignment="1">
      <alignment horizontal="left" vertical="center" wrapText="1"/>
    </xf>
    <xf numFmtId="0" fontId="28" fillId="0" borderId="72" xfId="8" applyFont="1" applyBorder="1" applyAlignment="1">
      <alignment horizontal="left" vertical="center" wrapText="1"/>
    </xf>
    <xf numFmtId="0" fontId="12" fillId="0" borderId="82" xfId="8" applyFont="1" applyBorder="1" applyAlignment="1">
      <alignment horizontal="center" vertical="center"/>
    </xf>
    <xf numFmtId="0" fontId="12" fillId="0" borderId="83" xfId="8" applyFont="1" applyBorder="1" applyAlignment="1">
      <alignment horizontal="right" vertical="center"/>
    </xf>
    <xf numFmtId="0" fontId="28" fillId="4" borderId="59" xfId="0" applyFont="1" applyFill="1" applyBorder="1" applyAlignment="1" applyProtection="1">
      <alignment horizontal="center" vertical="center" wrapText="1"/>
      <protection hidden="1"/>
    </xf>
    <xf numFmtId="0" fontId="28" fillId="4" borderId="60" xfId="0" applyFont="1" applyFill="1" applyBorder="1" applyAlignment="1" applyProtection="1">
      <alignment horizontal="center" vertical="center" wrapText="1"/>
      <protection hidden="1"/>
    </xf>
    <xf numFmtId="0" fontId="28" fillId="4" borderId="61" xfId="0" applyFont="1" applyFill="1" applyBorder="1" applyAlignment="1" applyProtection="1">
      <alignment horizontal="center" vertical="center" wrapText="1"/>
      <protection hidden="1"/>
    </xf>
    <xf numFmtId="0" fontId="28" fillId="4" borderId="62" xfId="0" applyFont="1" applyFill="1" applyBorder="1" applyAlignment="1" applyProtection="1">
      <alignment horizontal="center" vertical="center" wrapText="1"/>
      <protection hidden="1"/>
    </xf>
    <xf numFmtId="0" fontId="28" fillId="4" borderId="63" xfId="0" applyFont="1" applyFill="1" applyBorder="1" applyAlignment="1" applyProtection="1">
      <alignment horizontal="center" vertical="center" wrapText="1"/>
      <protection hidden="1"/>
    </xf>
    <xf numFmtId="0" fontId="24" fillId="8" borderId="6" xfId="0" applyFont="1" applyFill="1" applyBorder="1" applyAlignment="1">
      <alignment horizontal="center" vertical="center" wrapText="1"/>
    </xf>
    <xf numFmtId="0" fontId="24" fillId="0" borderId="7" xfId="0" applyFont="1" applyBorder="1" applyAlignment="1">
      <alignment horizontal="left" vertical="center" wrapText="1"/>
    </xf>
    <xf numFmtId="0" fontId="32" fillId="8" borderId="6" xfId="0" applyFont="1" applyFill="1" applyBorder="1" applyAlignment="1">
      <alignment horizontal="center" vertical="center"/>
    </xf>
    <xf numFmtId="0" fontId="31" fillId="10" borderId="6" xfId="0" applyFont="1" applyFill="1" applyBorder="1" applyAlignment="1">
      <alignment horizontal="center" vertical="center"/>
    </xf>
    <xf numFmtId="0" fontId="6" fillId="0" borderId="6" xfId="0" applyFont="1" applyBorder="1" applyAlignment="1">
      <alignment horizontal="center" vertical="center"/>
    </xf>
    <xf numFmtId="0" fontId="31" fillId="10" borderId="6" xfId="0" applyFont="1" applyFill="1" applyBorder="1" applyAlignment="1">
      <alignment horizontal="center" vertical="center" wrapText="1"/>
    </xf>
    <xf numFmtId="0" fontId="8" fillId="4" borderId="6" xfId="0" applyFont="1" applyFill="1" applyBorder="1" applyAlignment="1">
      <alignment horizontal="center" vertical="center"/>
    </xf>
  </cellXfs>
  <cellStyles count="35">
    <cellStyle name="Euro" xfId="1" xr:uid="{00000000-0005-0000-0000-000001000000}"/>
    <cellStyle name="Excel Built-in Normal" xfId="2" xr:uid="{00000000-0005-0000-0000-000002000000}"/>
    <cellStyle name="Excel Built-in Normal 2" xfId="3" xr:uid="{00000000-0005-0000-0000-000003000000}"/>
    <cellStyle name="Moeda" xfId="4" builtinId="4"/>
    <cellStyle name="Moeda 2" xfId="5" xr:uid="{00000000-0005-0000-0000-000004000000}"/>
    <cellStyle name="Moeda 2 2" xfId="27" xr:uid="{3DAA54BA-BD3C-4FF6-9E3C-B85F23A86EB7}"/>
    <cellStyle name="Moeda 3" xfId="6" xr:uid="{00000000-0005-0000-0000-000005000000}"/>
    <cellStyle name="Moeda 4" xfId="7" xr:uid="{00000000-0005-0000-0000-000006000000}"/>
    <cellStyle name="Moeda 4 2" xfId="28" xr:uid="{71E14A69-BC10-46BA-977E-9F12DBBDD31A}"/>
    <cellStyle name="Normal" xfId="0" builtinId="0"/>
    <cellStyle name="Normal 12" xfId="25" xr:uid="{4337EA80-3FBF-4329-A51A-94C735A0AAE0}"/>
    <cellStyle name="Normal 2 2" xfId="8" xr:uid="{00000000-0005-0000-0000-000008000000}"/>
    <cellStyle name="Normal 2 2 3" xfId="9" xr:uid="{00000000-0005-0000-0000-000009000000}"/>
    <cellStyle name="Normal 2 3" xfId="10" xr:uid="{00000000-0005-0000-0000-00000A000000}"/>
    <cellStyle name="Normal 2 36" xfId="11" xr:uid="{00000000-0005-0000-0000-00000B000000}"/>
    <cellStyle name="Normal 4" xfId="12" xr:uid="{00000000-0005-0000-0000-00000C000000}"/>
    <cellStyle name="Normal 4 3" xfId="13" xr:uid="{00000000-0005-0000-0000-00000D000000}"/>
    <cellStyle name="Normal 7" xfId="24" xr:uid="{777FDE60-13F2-4CD4-8A39-AA54BC0456C4}"/>
    <cellStyle name="Normal 9" xfId="14" xr:uid="{00000000-0005-0000-0000-00000E000000}"/>
    <cellStyle name="Normal 9 2" xfId="29" xr:uid="{C1DB2ECE-D771-40BC-8F0D-3F63E2DEC5CA}"/>
    <cellStyle name="Porcentagem" xfId="26" builtinId="5"/>
    <cellStyle name="Porcentagem 2" xfId="15" xr:uid="{00000000-0005-0000-0000-00000F000000}"/>
    <cellStyle name="Separador de milhares 2" xfId="16" xr:uid="{00000000-0005-0000-0000-000010000000}"/>
    <cellStyle name="Separador de milhares 2 2" xfId="30" xr:uid="{1C527BF2-01C2-4CFC-A838-49A466C33DA2}"/>
    <cellStyle name="Separador de milhares 3" xfId="17" xr:uid="{00000000-0005-0000-0000-000011000000}"/>
    <cellStyle name="Separador de milhares 4" xfId="18" xr:uid="{00000000-0005-0000-0000-000012000000}"/>
    <cellStyle name="Separador de milhares_AG. TUPINAMBÁS - 2º PAVTO." xfId="19" xr:uid="{00000000-0005-0000-0000-000013000000}"/>
    <cellStyle name="Separador de milhares_AG. TUPINAMBÁS - 2º PAVTO. 2" xfId="31" xr:uid="{2FFC7685-81E7-48A2-9117-DE6EC674483E}"/>
    <cellStyle name="Separador de milhares_Pasta1" xfId="20" xr:uid="{00000000-0005-0000-0000-000014000000}"/>
    <cellStyle name="Vírgula 2" xfId="21" xr:uid="{00000000-0005-0000-0000-000015000000}"/>
    <cellStyle name="Vírgula 2 2" xfId="22" xr:uid="{00000000-0005-0000-0000-000016000000}"/>
    <cellStyle name="Vírgula 2 2 2" xfId="33" xr:uid="{905E96FB-E27C-45E5-93E1-CB23D37537CB}"/>
    <cellStyle name="Vírgula 2 3" xfId="32" xr:uid="{8DF7217B-FBDE-47B2-B46B-F9B9A60F14EA}"/>
    <cellStyle name="Vírgula 3" xfId="23" xr:uid="{00000000-0005-0000-0000-000017000000}"/>
    <cellStyle name="Vírgula 3 2" xfId="34" xr:uid="{A6D7E03D-ACB3-4DDF-84BB-1A593FE9E2AF}"/>
  </cellStyles>
  <dxfs count="79">
    <dxf>
      <font>
        <b/>
        <i val="0"/>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rgb="FFCCFFCC"/>
        </patternFill>
      </fill>
    </dxf>
    <dxf>
      <fill>
        <patternFill>
          <bgColor rgb="FFCCFFCC"/>
        </patternFill>
      </fill>
    </dxf>
    <dxf>
      <fill>
        <patternFill>
          <bgColor theme="0" tint="-0.24994659260841701"/>
        </patternFill>
      </fill>
    </dxf>
    <dxf>
      <fill>
        <patternFill>
          <bgColor rgb="FFCCFFCC"/>
        </patternFill>
      </fill>
    </dxf>
    <dxf>
      <fill>
        <patternFill>
          <bgColor theme="0" tint="-0.24994659260841701"/>
        </patternFill>
      </fill>
    </dxf>
    <dxf>
      <fill>
        <patternFill>
          <bgColor rgb="FFCCFFCC"/>
        </patternFill>
      </fill>
    </dxf>
    <dxf>
      <fill>
        <patternFill>
          <bgColor theme="0" tint="-0.24994659260841701"/>
        </patternFill>
      </fill>
    </dxf>
    <dxf>
      <fill>
        <patternFill>
          <bgColor theme="0" tint="-0.24994659260841701"/>
        </patternFill>
      </fill>
    </dxf>
    <dxf>
      <fill>
        <patternFill>
          <bgColor rgb="FFCCFFCC"/>
        </patternFill>
      </fill>
    </dxf>
    <dxf>
      <fill>
        <patternFill>
          <bgColor rgb="FFCCFFCC"/>
        </patternFill>
      </fill>
    </dxf>
    <dxf>
      <fill>
        <patternFill>
          <bgColor theme="0" tint="-0.24994659260841701"/>
        </patternFill>
      </fill>
    </dxf>
    <dxf>
      <fill>
        <patternFill>
          <bgColor rgb="FFCCFFCC"/>
        </patternFill>
      </fill>
    </dxf>
    <dxf>
      <fill>
        <patternFill>
          <bgColor theme="0" tint="-0.24994659260841701"/>
        </patternFill>
      </fill>
    </dxf>
    <dxf>
      <fill>
        <patternFill>
          <bgColor rgb="FFCCFFCC"/>
        </patternFill>
      </fill>
    </dxf>
    <dxf>
      <fill>
        <patternFill>
          <bgColor theme="0" tint="-0.24994659260841701"/>
        </patternFill>
      </fill>
    </dxf>
    <dxf>
      <fill>
        <patternFill>
          <bgColor rgb="FFCCFFCC"/>
        </patternFill>
      </fill>
    </dxf>
    <dxf>
      <fill>
        <patternFill>
          <bgColor theme="0" tint="-0.24994659260841701"/>
        </patternFill>
      </fill>
    </dxf>
    <dxf>
      <fill>
        <patternFill>
          <bgColor rgb="FFCCFFCC"/>
        </patternFill>
      </fill>
    </dxf>
    <dxf>
      <fill>
        <patternFill>
          <bgColor theme="0" tint="-0.24994659260841701"/>
        </patternFill>
      </fill>
    </dxf>
    <dxf>
      <fill>
        <patternFill>
          <bgColor rgb="FFCCFFCC"/>
        </patternFill>
      </fill>
    </dxf>
    <dxf>
      <fill>
        <patternFill>
          <bgColor theme="0" tint="-0.24994659260841701"/>
        </patternFill>
      </fill>
    </dxf>
    <dxf>
      <fill>
        <patternFill>
          <bgColor theme="0" tint="-0.24994659260841701"/>
        </patternFill>
      </fill>
    </dxf>
    <dxf>
      <fill>
        <patternFill>
          <bgColor rgb="FFCCFFCC"/>
        </patternFill>
      </fill>
    </dxf>
    <dxf>
      <fill>
        <patternFill>
          <bgColor theme="0" tint="-0.24994659260841701"/>
        </patternFill>
      </fill>
    </dxf>
    <dxf>
      <fill>
        <patternFill>
          <bgColor rgb="FFCCFFCC"/>
        </patternFill>
      </fill>
    </dxf>
    <dxf>
      <fill>
        <patternFill>
          <bgColor rgb="FFCCFFCC"/>
        </patternFill>
      </fill>
    </dxf>
    <dxf>
      <fill>
        <patternFill>
          <bgColor theme="0" tint="-0.24994659260841701"/>
        </patternFill>
      </fill>
    </dxf>
    <dxf>
      <fill>
        <patternFill>
          <bgColor rgb="FFCCFFCC"/>
        </patternFill>
      </fill>
    </dxf>
    <dxf>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28575</xdr:colOff>
      <xdr:row>1</xdr:row>
      <xdr:rowOff>257175</xdr:rowOff>
    </xdr:from>
    <xdr:to>
      <xdr:col>5</xdr:col>
      <xdr:colOff>1362075</xdr:colOff>
      <xdr:row>4</xdr:row>
      <xdr:rowOff>190500</xdr:rowOff>
    </xdr:to>
    <xdr:pic>
      <xdr:nvPicPr>
        <xdr:cNvPr id="2" name="Imagem 3" descr="https://projeto-cdn.infra.grancursosonline.com.br/camara-municipal-de-belo-horizonte.png">
          <a:extLst>
            <a:ext uri="{FF2B5EF4-FFF2-40B4-BE49-F238E27FC236}">
              <a16:creationId xmlns:a16="http://schemas.microsoft.com/office/drawing/2014/main" id="{C03EAC51-C74A-4C75-9F51-8CFABB7ABC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314325"/>
          <a:ext cx="13335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xdr:row>
      <xdr:rowOff>76200</xdr:rowOff>
    </xdr:from>
    <xdr:to>
      <xdr:col>6</xdr:col>
      <xdr:colOff>1371600</xdr:colOff>
      <xdr:row>4</xdr:row>
      <xdr:rowOff>314325</xdr:rowOff>
    </xdr:to>
    <xdr:pic>
      <xdr:nvPicPr>
        <xdr:cNvPr id="3" name="Imagem 1">
          <a:extLst>
            <a:ext uri="{FF2B5EF4-FFF2-40B4-BE49-F238E27FC236}">
              <a16:creationId xmlns:a16="http://schemas.microsoft.com/office/drawing/2014/main" id="{BD0047B2-2773-4466-A28A-1B6D2096C2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24900" y="133350"/>
          <a:ext cx="13525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19050</xdr:colOff>
      <xdr:row>1</xdr:row>
      <xdr:rowOff>142875</xdr:rowOff>
    </xdr:from>
    <xdr:to>
      <xdr:col>5</xdr:col>
      <xdr:colOff>577298</xdr:colOff>
      <xdr:row>4</xdr:row>
      <xdr:rowOff>209550</xdr:rowOff>
    </xdr:to>
    <xdr:pic>
      <xdr:nvPicPr>
        <xdr:cNvPr id="2" name="Imagem 3" descr="https://projeto-cdn.infra.grancursosonline.com.br/camara-municipal-de-belo-horizonte.png">
          <a:extLst>
            <a:ext uri="{FF2B5EF4-FFF2-40B4-BE49-F238E27FC236}">
              <a16:creationId xmlns:a16="http://schemas.microsoft.com/office/drawing/2014/main" id="{5947DA1E-1919-47EB-9EF3-11A5DEB847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450" y="200025"/>
          <a:ext cx="15144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38100</xdr:rowOff>
    </xdr:from>
    <xdr:to>
      <xdr:col>6</xdr:col>
      <xdr:colOff>1400175</xdr:colOff>
      <xdr:row>4</xdr:row>
      <xdr:rowOff>314325</xdr:rowOff>
    </xdr:to>
    <xdr:pic>
      <xdr:nvPicPr>
        <xdr:cNvPr id="4" name="Imagem 4">
          <a:extLst>
            <a:ext uri="{FF2B5EF4-FFF2-40B4-BE49-F238E27FC236}">
              <a16:creationId xmlns:a16="http://schemas.microsoft.com/office/drawing/2014/main" id="{CE6791CB-2F2C-41CE-B9EC-DE3EC93F9B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77075" y="95250"/>
          <a:ext cx="13906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9525</xdr:colOff>
      <xdr:row>1</xdr:row>
      <xdr:rowOff>133350</xdr:rowOff>
    </xdr:from>
    <xdr:to>
      <xdr:col>5</xdr:col>
      <xdr:colOff>610961</xdr:colOff>
      <xdr:row>4</xdr:row>
      <xdr:rowOff>200025</xdr:rowOff>
    </xdr:to>
    <xdr:pic>
      <xdr:nvPicPr>
        <xdr:cNvPr id="2" name="Imagem 3" descr="https://projeto-cdn.infra.grancursosonline.com.br/camara-municipal-de-belo-horizonte.png">
          <a:extLst>
            <a:ext uri="{FF2B5EF4-FFF2-40B4-BE49-F238E27FC236}">
              <a16:creationId xmlns:a16="http://schemas.microsoft.com/office/drawing/2014/main" id="{42F5DE01-44FD-4FBB-9F20-FF3982A089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95925" y="190500"/>
          <a:ext cx="15144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28575</xdr:rowOff>
    </xdr:from>
    <xdr:to>
      <xdr:col>6</xdr:col>
      <xdr:colOff>1390650</xdr:colOff>
      <xdr:row>4</xdr:row>
      <xdr:rowOff>304800</xdr:rowOff>
    </xdr:to>
    <xdr:pic>
      <xdr:nvPicPr>
        <xdr:cNvPr id="4" name="Imagem 4">
          <a:extLst>
            <a:ext uri="{FF2B5EF4-FFF2-40B4-BE49-F238E27FC236}">
              <a16:creationId xmlns:a16="http://schemas.microsoft.com/office/drawing/2014/main" id="{908C0B54-5742-48EB-B12E-ED6F106953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67550" y="85725"/>
          <a:ext cx="13906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28575</xdr:colOff>
      <xdr:row>1</xdr:row>
      <xdr:rowOff>85725</xdr:rowOff>
    </xdr:from>
    <xdr:to>
      <xdr:col>4</xdr:col>
      <xdr:colOff>638175</xdr:colOff>
      <xdr:row>4</xdr:row>
      <xdr:rowOff>266700</xdr:rowOff>
    </xdr:to>
    <xdr:pic>
      <xdr:nvPicPr>
        <xdr:cNvPr id="2" name="Imagem 3" descr="https://projeto-cdn.infra.grancursosonline.com.br/camara-municipal-de-belo-horizonte.png">
          <a:extLst>
            <a:ext uri="{FF2B5EF4-FFF2-40B4-BE49-F238E27FC236}">
              <a16:creationId xmlns:a16="http://schemas.microsoft.com/office/drawing/2014/main" id="{408BB235-9E6B-4A09-8D0D-B7B2364C35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24475" y="142875"/>
          <a:ext cx="16573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638175</xdr:colOff>
      <xdr:row>1</xdr:row>
      <xdr:rowOff>19050</xdr:rowOff>
    </xdr:from>
    <xdr:to>
      <xdr:col>5</xdr:col>
      <xdr:colOff>1028700</xdr:colOff>
      <xdr:row>4</xdr:row>
      <xdr:rowOff>342900</xdr:rowOff>
    </xdr:to>
    <xdr:pic>
      <xdr:nvPicPr>
        <xdr:cNvPr id="4" name="Imagem 4">
          <a:extLst>
            <a:ext uri="{FF2B5EF4-FFF2-40B4-BE49-F238E27FC236}">
              <a16:creationId xmlns:a16="http://schemas.microsoft.com/office/drawing/2014/main" id="{E27E33EA-6C6D-4D66-9783-FD1F9CC415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81825" y="76200"/>
          <a:ext cx="14382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40822</xdr:colOff>
      <xdr:row>1</xdr:row>
      <xdr:rowOff>182336</xdr:rowOff>
    </xdr:from>
    <xdr:to>
      <xdr:col>9</xdr:col>
      <xdr:colOff>1575000</xdr:colOff>
      <xdr:row>4</xdr:row>
      <xdr:rowOff>278608</xdr:rowOff>
    </xdr:to>
    <xdr:pic>
      <xdr:nvPicPr>
        <xdr:cNvPr id="3" name="Imagem 3" descr="https://projeto-cdn.infra.grancursosonline.com.br/camara-municipal-de-belo-horizonte.png">
          <a:extLst>
            <a:ext uri="{FF2B5EF4-FFF2-40B4-BE49-F238E27FC236}">
              <a16:creationId xmlns:a16="http://schemas.microsoft.com/office/drawing/2014/main" id="{E2CB42E0-8C90-42A2-9B96-753B2E0B32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1072" y="236765"/>
          <a:ext cx="1534178" cy="11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619468</xdr:colOff>
      <xdr:row>1</xdr:row>
      <xdr:rowOff>176892</xdr:rowOff>
    </xdr:from>
    <xdr:to>
      <xdr:col>11</xdr:col>
      <xdr:colOff>486453</xdr:colOff>
      <xdr:row>4</xdr:row>
      <xdr:rowOff>273164</xdr:rowOff>
    </xdr:to>
    <xdr:pic>
      <xdr:nvPicPr>
        <xdr:cNvPr id="4" name="Imagem 4">
          <a:extLst>
            <a:ext uri="{FF2B5EF4-FFF2-40B4-BE49-F238E27FC236}">
              <a16:creationId xmlns:a16="http://schemas.microsoft.com/office/drawing/2014/main" id="{9C6350C0-5F7D-4D18-A832-31B6FA6DE5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15825" y="231321"/>
          <a:ext cx="1200485" cy="119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83343</xdr:colOff>
      <xdr:row>1</xdr:row>
      <xdr:rowOff>23812</xdr:rowOff>
    </xdr:from>
    <xdr:to>
      <xdr:col>5</xdr:col>
      <xdr:colOff>593569</xdr:colOff>
      <xdr:row>4</xdr:row>
      <xdr:rowOff>354632</xdr:rowOff>
    </xdr:to>
    <xdr:pic>
      <xdr:nvPicPr>
        <xdr:cNvPr id="2" name="Imagem 3" descr="https://projeto-cdn.infra.grancursosonline.com.br/camara-municipal-de-belo-horizonte.png">
          <a:extLst>
            <a:ext uri="{FF2B5EF4-FFF2-40B4-BE49-F238E27FC236}">
              <a16:creationId xmlns:a16="http://schemas.microsoft.com/office/drawing/2014/main" id="{60EB46DD-1872-4871-9F38-370F8CB5A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03906" y="83343"/>
          <a:ext cx="1879445" cy="147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931127</xdr:colOff>
      <xdr:row>1</xdr:row>
      <xdr:rowOff>33337</xdr:rowOff>
    </xdr:from>
    <xdr:to>
      <xdr:col>7</xdr:col>
      <xdr:colOff>897209</xdr:colOff>
      <xdr:row>4</xdr:row>
      <xdr:rowOff>326057</xdr:rowOff>
    </xdr:to>
    <xdr:pic>
      <xdr:nvPicPr>
        <xdr:cNvPr id="4" name="Imagem 4">
          <a:extLst>
            <a:ext uri="{FF2B5EF4-FFF2-40B4-BE49-F238E27FC236}">
              <a16:creationId xmlns:a16="http://schemas.microsoft.com/office/drawing/2014/main" id="{6E023343-4F9B-4EE7-A801-674AE735E1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20908" y="92868"/>
          <a:ext cx="1442457" cy="1435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161925</xdr:colOff>
      <xdr:row>1</xdr:row>
      <xdr:rowOff>76200</xdr:rowOff>
    </xdr:from>
    <xdr:to>
      <xdr:col>11</xdr:col>
      <xdr:colOff>132427</xdr:colOff>
      <xdr:row>4</xdr:row>
      <xdr:rowOff>322252</xdr:rowOff>
    </xdr:to>
    <xdr:pic>
      <xdr:nvPicPr>
        <xdr:cNvPr id="2" name="Imagem 3" descr="https://projeto-cdn.infra.grancursosonline.com.br/camara-municipal-de-belo-horizonte.png">
          <a:extLst>
            <a:ext uri="{FF2B5EF4-FFF2-40B4-BE49-F238E27FC236}">
              <a16:creationId xmlns:a16="http://schemas.microsoft.com/office/drawing/2014/main" id="{85C22B91-AD13-45AE-870F-AA5F3FAAF5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5050" y="133350"/>
          <a:ext cx="1761202" cy="1389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300498</xdr:colOff>
      <xdr:row>1</xdr:row>
      <xdr:rowOff>38100</xdr:rowOff>
    </xdr:from>
    <xdr:to>
      <xdr:col>15</xdr:col>
      <xdr:colOff>0</xdr:colOff>
      <xdr:row>4</xdr:row>
      <xdr:rowOff>377290</xdr:rowOff>
    </xdr:to>
    <xdr:pic>
      <xdr:nvPicPr>
        <xdr:cNvPr id="4" name="Imagem 4">
          <a:extLst>
            <a:ext uri="{FF2B5EF4-FFF2-40B4-BE49-F238E27FC236}">
              <a16:creationId xmlns:a16="http://schemas.microsoft.com/office/drawing/2014/main" id="{832C4BC1-F3E8-4346-AF92-B9A81E866E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44323" y="95250"/>
          <a:ext cx="1490202" cy="1482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57150</xdr:colOff>
      <xdr:row>1</xdr:row>
      <xdr:rowOff>202406</xdr:rowOff>
    </xdr:from>
    <xdr:to>
      <xdr:col>14</xdr:col>
      <xdr:colOff>1618815</xdr:colOff>
      <xdr:row>4</xdr:row>
      <xdr:rowOff>245269</xdr:rowOff>
    </xdr:to>
    <xdr:pic>
      <xdr:nvPicPr>
        <xdr:cNvPr id="2" name="Imagem 3" descr="https://projeto-cdn.infra.grancursosonline.com.br/camara-municipal-de-belo-horizonte.png">
          <a:extLst>
            <a:ext uri="{FF2B5EF4-FFF2-40B4-BE49-F238E27FC236}">
              <a16:creationId xmlns:a16="http://schemas.microsoft.com/office/drawing/2014/main" id="{D973D749-DB12-45B2-9BD5-5CE3B37A27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484" t="15860" r="18484" b="18414"/>
        <a:stretch>
          <a:fillRect/>
        </a:stretch>
      </xdr:blipFill>
      <xdr:spPr bwMode="auto">
        <a:xfrm>
          <a:off x="21202650" y="259556"/>
          <a:ext cx="1580374" cy="124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1785936</xdr:colOff>
      <xdr:row>1</xdr:row>
      <xdr:rowOff>173831</xdr:rowOff>
    </xdr:from>
    <xdr:to>
      <xdr:col>14</xdr:col>
      <xdr:colOff>3014775</xdr:colOff>
      <xdr:row>4</xdr:row>
      <xdr:rowOff>216694</xdr:rowOff>
    </xdr:to>
    <xdr:pic>
      <xdr:nvPicPr>
        <xdr:cNvPr id="4" name="Imagem 4">
          <a:extLst>
            <a:ext uri="{FF2B5EF4-FFF2-40B4-BE49-F238E27FC236}">
              <a16:creationId xmlns:a16="http://schemas.microsoft.com/office/drawing/2014/main" id="{0F9B577F-9F4B-4F5E-B003-5ADF87DA74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31436" y="230981"/>
          <a:ext cx="1243013" cy="124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57150</xdr:colOff>
      <xdr:row>1</xdr:row>
      <xdr:rowOff>202406</xdr:rowOff>
    </xdr:from>
    <xdr:to>
      <xdr:col>14</xdr:col>
      <xdr:colOff>1630721</xdr:colOff>
      <xdr:row>4</xdr:row>
      <xdr:rowOff>245269</xdr:rowOff>
    </xdr:to>
    <xdr:pic>
      <xdr:nvPicPr>
        <xdr:cNvPr id="2" name="Imagem 3" descr="https://projeto-cdn.infra.grancursosonline.com.br/camara-municipal-de-belo-horizonte.png">
          <a:extLst>
            <a:ext uri="{FF2B5EF4-FFF2-40B4-BE49-F238E27FC236}">
              <a16:creationId xmlns:a16="http://schemas.microsoft.com/office/drawing/2014/main" id="{29EABF68-AA48-4018-8FC2-248266A220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484" t="15860" r="18484" b="18414"/>
        <a:stretch>
          <a:fillRect/>
        </a:stretch>
      </xdr:blipFill>
      <xdr:spPr bwMode="auto">
        <a:xfrm>
          <a:off x="16487775" y="259556"/>
          <a:ext cx="1570849" cy="1214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1785936</xdr:colOff>
      <xdr:row>1</xdr:row>
      <xdr:rowOff>173831</xdr:rowOff>
    </xdr:from>
    <xdr:to>
      <xdr:col>14</xdr:col>
      <xdr:colOff>3026681</xdr:colOff>
      <xdr:row>4</xdr:row>
      <xdr:rowOff>216694</xdr:rowOff>
    </xdr:to>
    <xdr:pic>
      <xdr:nvPicPr>
        <xdr:cNvPr id="3" name="Imagem 4">
          <a:extLst>
            <a:ext uri="{FF2B5EF4-FFF2-40B4-BE49-F238E27FC236}">
              <a16:creationId xmlns:a16="http://schemas.microsoft.com/office/drawing/2014/main" id="{5B3432B3-D9E4-44F7-A152-25CDB51528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87775" y="230981"/>
          <a:ext cx="1236663" cy="1214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57150</xdr:colOff>
      <xdr:row>1</xdr:row>
      <xdr:rowOff>202406</xdr:rowOff>
    </xdr:from>
    <xdr:to>
      <xdr:col>14</xdr:col>
      <xdr:colOff>1630721</xdr:colOff>
      <xdr:row>4</xdr:row>
      <xdr:rowOff>245269</xdr:rowOff>
    </xdr:to>
    <xdr:pic>
      <xdr:nvPicPr>
        <xdr:cNvPr id="2" name="Imagem 3" descr="https://projeto-cdn.infra.grancursosonline.com.br/camara-municipal-de-belo-horizonte.png">
          <a:extLst>
            <a:ext uri="{FF2B5EF4-FFF2-40B4-BE49-F238E27FC236}">
              <a16:creationId xmlns:a16="http://schemas.microsoft.com/office/drawing/2014/main" id="{272AA69E-9E03-4031-BB2D-AEED7F308B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484" t="15860" r="18484" b="18414"/>
        <a:stretch>
          <a:fillRect/>
        </a:stretch>
      </xdr:blipFill>
      <xdr:spPr bwMode="auto">
        <a:xfrm>
          <a:off x="21164550" y="259556"/>
          <a:ext cx="1573571" cy="1214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1785936</xdr:colOff>
      <xdr:row>1</xdr:row>
      <xdr:rowOff>173831</xdr:rowOff>
    </xdr:from>
    <xdr:to>
      <xdr:col>14</xdr:col>
      <xdr:colOff>3026681</xdr:colOff>
      <xdr:row>4</xdr:row>
      <xdr:rowOff>216694</xdr:rowOff>
    </xdr:to>
    <xdr:pic>
      <xdr:nvPicPr>
        <xdr:cNvPr id="3" name="Imagem 4">
          <a:extLst>
            <a:ext uri="{FF2B5EF4-FFF2-40B4-BE49-F238E27FC236}">
              <a16:creationId xmlns:a16="http://schemas.microsoft.com/office/drawing/2014/main" id="{4A1F8D2D-E1DF-4FB1-8946-764C73AAEC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93336" y="230981"/>
          <a:ext cx="1240745" cy="1214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133350</xdr:colOff>
      <xdr:row>1</xdr:row>
      <xdr:rowOff>85725</xdr:rowOff>
    </xdr:from>
    <xdr:to>
      <xdr:col>5</xdr:col>
      <xdr:colOff>76200</xdr:colOff>
      <xdr:row>4</xdr:row>
      <xdr:rowOff>266700</xdr:rowOff>
    </xdr:to>
    <xdr:pic>
      <xdr:nvPicPr>
        <xdr:cNvPr id="2" name="Imagem 3" descr="https://projeto-cdn.infra.grancursosonline.com.br/camara-municipal-de-belo-horizonte.png">
          <a:extLst>
            <a:ext uri="{FF2B5EF4-FFF2-40B4-BE49-F238E27FC236}">
              <a16:creationId xmlns:a16="http://schemas.microsoft.com/office/drawing/2014/main" id="{6B2CCC2C-E761-48FB-8329-EA7ACC928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5475" y="142875"/>
          <a:ext cx="16573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1</xdr:row>
      <xdr:rowOff>19050</xdr:rowOff>
    </xdr:from>
    <xdr:to>
      <xdr:col>6</xdr:col>
      <xdr:colOff>876300</xdr:colOff>
      <xdr:row>4</xdr:row>
      <xdr:rowOff>342900</xdr:rowOff>
    </xdr:to>
    <xdr:pic>
      <xdr:nvPicPr>
        <xdr:cNvPr id="4" name="Imagem 4">
          <a:extLst>
            <a:ext uri="{FF2B5EF4-FFF2-40B4-BE49-F238E27FC236}">
              <a16:creationId xmlns:a16="http://schemas.microsoft.com/office/drawing/2014/main" id="{3EF59120-CA5C-4F54-AD69-8A998314EF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24775" y="76200"/>
          <a:ext cx="14382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261937</xdr:colOff>
      <xdr:row>1</xdr:row>
      <xdr:rowOff>77683</xdr:rowOff>
    </xdr:from>
    <xdr:to>
      <xdr:col>13</xdr:col>
      <xdr:colOff>137424</xdr:colOff>
      <xdr:row>4</xdr:row>
      <xdr:rowOff>278606</xdr:rowOff>
    </xdr:to>
    <xdr:pic>
      <xdr:nvPicPr>
        <xdr:cNvPr id="2" name="Imagem 3" descr="https://projeto-cdn.infra.grancursosonline.com.br/camara-municipal-de-belo-horizonte.png">
          <a:extLst>
            <a:ext uri="{FF2B5EF4-FFF2-40B4-BE49-F238E27FC236}">
              <a16:creationId xmlns:a16="http://schemas.microsoft.com/office/drawing/2014/main" id="{5EEE4AEE-BB52-4051-AA1F-5A8A53BBE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484" t="15860" r="18484" b="18414"/>
        <a:stretch>
          <a:fillRect/>
        </a:stretch>
      </xdr:blipFill>
      <xdr:spPr bwMode="auto">
        <a:xfrm>
          <a:off x="16323468" y="137214"/>
          <a:ext cx="1685237" cy="134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388144</xdr:colOff>
      <xdr:row>1</xdr:row>
      <xdr:rowOff>89588</xdr:rowOff>
    </xdr:from>
    <xdr:to>
      <xdr:col>13</xdr:col>
      <xdr:colOff>1714500</xdr:colOff>
      <xdr:row>4</xdr:row>
      <xdr:rowOff>290512</xdr:rowOff>
    </xdr:to>
    <xdr:pic>
      <xdr:nvPicPr>
        <xdr:cNvPr id="4" name="Imagem 4">
          <a:extLst>
            <a:ext uri="{FF2B5EF4-FFF2-40B4-BE49-F238E27FC236}">
              <a16:creationId xmlns:a16="http://schemas.microsoft.com/office/drawing/2014/main" id="{F27BA4CC-F6F7-4720-9357-139EA40E18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94832" y="149119"/>
          <a:ext cx="1326356" cy="1343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26"/>
  <sheetViews>
    <sheetView showGridLines="0" zoomScale="90" zoomScaleNormal="90" zoomScaleSheetLayoutView="100" workbookViewId="0">
      <selection activeCell="A15" sqref="A15:G15"/>
    </sheetView>
  </sheetViews>
  <sheetFormatPr defaultColWidth="9.140625" defaultRowHeight="15"/>
  <cols>
    <col min="1" max="1" width="15.28515625" style="1" customWidth="1"/>
    <col min="2" max="2" width="53.42578125" style="1" customWidth="1"/>
    <col min="3" max="5" width="13.7109375" style="1" customWidth="1"/>
    <col min="6" max="7" width="20.85546875" style="1" customWidth="1"/>
    <col min="8" max="16384" width="9.140625" style="1"/>
  </cols>
  <sheetData>
    <row r="1" spans="1:11" s="2" customFormat="1" ht="4.5" customHeight="1">
      <c r="A1" s="689"/>
      <c r="B1" s="690"/>
      <c r="C1" s="690"/>
      <c r="D1" s="690"/>
      <c r="E1" s="690"/>
      <c r="F1" s="690"/>
      <c r="G1" s="691"/>
    </row>
    <row r="2" spans="1:11" s="2" customFormat="1" ht="29.25" customHeight="1">
      <c r="A2" s="133" t="s">
        <v>0</v>
      </c>
      <c r="B2" s="254" t="s">
        <v>1</v>
      </c>
      <c r="C2" s="282" t="s">
        <v>2</v>
      </c>
      <c r="D2" s="282" t="s">
        <v>3</v>
      </c>
      <c r="E2" s="282" t="s">
        <v>4</v>
      </c>
      <c r="F2" s="277"/>
      <c r="G2" s="149"/>
    </row>
    <row r="3" spans="1:11" s="2" customFormat="1" ht="29.25" customHeight="1">
      <c r="A3" s="133" t="s">
        <v>5</v>
      </c>
      <c r="B3" s="254" t="s">
        <v>6</v>
      </c>
      <c r="C3" s="286" t="s">
        <v>7</v>
      </c>
      <c r="D3" s="286" t="s">
        <v>8</v>
      </c>
      <c r="E3" s="286" t="s">
        <v>8</v>
      </c>
      <c r="F3" s="23"/>
      <c r="G3" s="24"/>
    </row>
    <row r="4" spans="1:11" s="2" customFormat="1" ht="29.25" customHeight="1">
      <c r="A4" s="133" t="s">
        <v>9</v>
      </c>
      <c r="B4" s="254" t="s">
        <v>10</v>
      </c>
      <c r="C4" s="698" t="s">
        <v>11</v>
      </c>
      <c r="D4" s="207" t="s">
        <v>12</v>
      </c>
      <c r="E4" s="206" t="s">
        <v>13</v>
      </c>
      <c r="F4" s="276"/>
      <c r="G4" s="24"/>
    </row>
    <row r="5" spans="1:11" s="2" customFormat="1" ht="29.25" customHeight="1">
      <c r="A5" s="133" t="s">
        <v>14</v>
      </c>
      <c r="B5" s="255" t="s">
        <v>15</v>
      </c>
      <c r="C5" s="699"/>
      <c r="D5" s="208">
        <v>0.24199999999999999</v>
      </c>
      <c r="E5" s="212">
        <v>0.19620000000000001</v>
      </c>
      <c r="F5" s="25"/>
      <c r="G5" s="27"/>
    </row>
    <row r="6" spans="1:11" s="2" customFormat="1" ht="4.5" customHeight="1">
      <c r="A6" s="689"/>
      <c r="B6" s="690"/>
      <c r="C6" s="690"/>
      <c r="D6" s="690"/>
      <c r="E6" s="690"/>
      <c r="F6" s="690"/>
      <c r="G6" s="691"/>
    </row>
    <row r="7" spans="1:11" s="2" customFormat="1" ht="33" customHeight="1">
      <c r="A7" s="692" t="s">
        <v>16</v>
      </c>
      <c r="B7" s="693"/>
      <c r="C7" s="693"/>
      <c r="D7" s="693"/>
      <c r="E7" s="693"/>
      <c r="F7" s="693"/>
      <c r="G7" s="694"/>
    </row>
    <row r="8" spans="1:11" s="2" customFormat="1" ht="4.5" customHeight="1">
      <c r="A8" s="689"/>
      <c r="B8" s="690"/>
      <c r="C8" s="690"/>
      <c r="D8" s="690"/>
      <c r="E8" s="690"/>
      <c r="F8" s="690"/>
      <c r="G8" s="691"/>
    </row>
    <row r="9" spans="1:11" s="2" customFormat="1" ht="20.100000000000001" customHeight="1">
      <c r="A9" s="695" t="s">
        <v>17</v>
      </c>
      <c r="B9" s="696"/>
      <c r="C9" s="696"/>
      <c r="D9" s="696"/>
      <c r="E9" s="696"/>
      <c r="F9" s="696"/>
      <c r="G9" s="697"/>
      <c r="K9"/>
    </row>
    <row r="10" spans="1:11" s="2" customFormat="1" ht="20.100000000000001" customHeight="1">
      <c r="A10" s="134" t="s">
        <v>18</v>
      </c>
      <c r="B10" s="134" t="s">
        <v>19</v>
      </c>
      <c r="C10" s="709" t="s">
        <v>20</v>
      </c>
      <c r="D10" s="709"/>
      <c r="E10" s="715" t="s">
        <v>21</v>
      </c>
      <c r="F10" s="716"/>
      <c r="G10" s="717"/>
    </row>
    <row r="11" spans="1:11" s="2" customFormat="1" ht="20.100000000000001" customHeight="1">
      <c r="A11" s="28" t="s">
        <v>22</v>
      </c>
      <c r="B11" s="28" t="s">
        <v>23</v>
      </c>
      <c r="C11" s="710">
        <v>45447</v>
      </c>
      <c r="D11" s="711"/>
      <c r="E11" s="712" t="s">
        <v>24</v>
      </c>
      <c r="F11" s="713"/>
      <c r="G11" s="714"/>
    </row>
    <row r="12" spans="1:11" s="2" customFormat="1" ht="20.100000000000001" customHeight="1">
      <c r="A12" s="28" t="s">
        <v>25</v>
      </c>
      <c r="B12" s="28" t="s">
        <v>23</v>
      </c>
      <c r="C12" s="710">
        <v>45496</v>
      </c>
      <c r="D12" s="711"/>
      <c r="E12" s="712" t="s">
        <v>24</v>
      </c>
      <c r="F12" s="713"/>
      <c r="G12" s="714"/>
    </row>
    <row r="13" spans="1:11" s="2" customFormat="1" ht="20.100000000000001" customHeight="1">
      <c r="A13" s="28" t="s">
        <v>26</v>
      </c>
      <c r="B13" s="28" t="s">
        <v>23</v>
      </c>
      <c r="C13" s="710">
        <v>45504</v>
      </c>
      <c r="D13" s="711"/>
      <c r="E13" s="712" t="s">
        <v>24</v>
      </c>
      <c r="F13" s="713"/>
      <c r="G13" s="714"/>
    </row>
    <row r="14" spans="1:11" s="2" customFormat="1" ht="20.100000000000001" customHeight="1">
      <c r="A14" s="559" t="s">
        <v>3074</v>
      </c>
      <c r="B14" s="559" t="s">
        <v>3075</v>
      </c>
      <c r="C14" s="718">
        <v>45569</v>
      </c>
      <c r="D14" s="719"/>
      <c r="E14" s="685" t="s">
        <v>2965</v>
      </c>
      <c r="F14" s="686"/>
      <c r="G14" s="687"/>
    </row>
    <row r="15" spans="1:11" s="2" customFormat="1" ht="4.5" customHeight="1">
      <c r="A15" s="688"/>
      <c r="B15" s="688"/>
      <c r="C15" s="688"/>
      <c r="D15" s="688"/>
      <c r="E15" s="688"/>
      <c r="F15" s="688"/>
      <c r="G15" s="688"/>
    </row>
    <row r="16" spans="1:11" s="2" customFormat="1" ht="17.25" customHeight="1">
      <c r="A16" s="720" t="s">
        <v>27</v>
      </c>
      <c r="B16" s="721" t="s">
        <v>28</v>
      </c>
      <c r="C16" s="722"/>
      <c r="D16" s="722"/>
      <c r="E16" s="723"/>
      <c r="F16" s="729" t="s">
        <v>29</v>
      </c>
      <c r="G16" s="727" t="s">
        <v>30</v>
      </c>
    </row>
    <row r="17" spans="1:7" s="2" customFormat="1" ht="17.25" customHeight="1">
      <c r="A17" s="720"/>
      <c r="B17" s="724"/>
      <c r="C17" s="725"/>
      <c r="D17" s="725"/>
      <c r="E17" s="726"/>
      <c r="F17" s="730"/>
      <c r="G17" s="728"/>
    </row>
    <row r="18" spans="1:7" s="2" customFormat="1" ht="17.25" customHeight="1">
      <c r="A18" s="426">
        <v>1</v>
      </c>
      <c r="B18" s="682" t="s">
        <v>31</v>
      </c>
      <c r="C18" s="682"/>
      <c r="D18" s="682"/>
      <c r="E18" s="682"/>
      <c r="F18" s="477">
        <f>F19+F23+F26+F29</f>
        <v>666011.04999999993</v>
      </c>
      <c r="G18" s="478">
        <f>G19+G23+G26+G29</f>
        <v>6.7056533596851597E-2</v>
      </c>
    </row>
    <row r="19" spans="1:7" s="3" customFormat="1" ht="15" customHeight="1">
      <c r="A19" s="64" t="s">
        <v>32</v>
      </c>
      <c r="B19" s="36" t="s">
        <v>33</v>
      </c>
      <c r="C19" s="124" t="s">
        <v>34</v>
      </c>
      <c r="D19" s="124" t="s">
        <v>34</v>
      </c>
      <c r="E19" s="124"/>
      <c r="F19" s="125">
        <f>ROUND((SUM(F20:F21)),2)</f>
        <v>312904.95</v>
      </c>
      <c r="G19" s="112">
        <f>SUM(G20:G21)</f>
        <v>3.1504464216166039E-2</v>
      </c>
    </row>
    <row r="20" spans="1:7" s="3" customFormat="1">
      <c r="A20" s="126" t="s">
        <v>35</v>
      </c>
      <c r="B20" s="127" t="s">
        <v>36</v>
      </c>
      <c r="C20" s="79"/>
      <c r="D20" s="79"/>
      <c r="E20" s="79"/>
      <c r="F20" s="128">
        <f>'Planilha Orçamentária'!K20</f>
        <v>310608.91000000003</v>
      </c>
      <c r="G20" s="129">
        <f>F20/$F$121</f>
        <v>3.1273290148709179E-2</v>
      </c>
    </row>
    <row r="21" spans="1:7" s="3" customFormat="1">
      <c r="A21" s="126" t="s">
        <v>37</v>
      </c>
      <c r="B21" s="127" t="s">
        <v>38</v>
      </c>
      <c r="C21" s="79"/>
      <c r="D21" s="79"/>
      <c r="E21" s="79"/>
      <c r="F21" s="128">
        <f>'Planilha Orçamentária'!K26</f>
        <v>2296.04</v>
      </c>
      <c r="G21" s="129">
        <f>F21/$F$121</f>
        <v>2.311740674568615E-4</v>
      </c>
    </row>
    <row r="22" spans="1:7" s="3" customFormat="1" ht="15" customHeight="1">
      <c r="A22" s="43"/>
      <c r="B22" s="42"/>
      <c r="C22" s="44"/>
      <c r="D22" s="45"/>
      <c r="E22" s="45"/>
      <c r="F22" s="47"/>
      <c r="G22" s="48"/>
    </row>
    <row r="23" spans="1:7" s="3" customFormat="1">
      <c r="A23" s="64" t="s">
        <v>39</v>
      </c>
      <c r="B23" s="36" t="s">
        <v>40</v>
      </c>
      <c r="C23" s="124" t="s">
        <v>34</v>
      </c>
      <c r="D23" s="124" t="s">
        <v>34</v>
      </c>
      <c r="E23" s="124"/>
      <c r="F23" s="125">
        <f>ROUND((SUM(F24:F24)),2)</f>
        <v>45822.35</v>
      </c>
      <c r="G23" s="112">
        <f>SUM(G24:G24)</f>
        <v>4.6135690275134226E-3</v>
      </c>
    </row>
    <row r="24" spans="1:7" s="3" customFormat="1">
      <c r="A24" s="126" t="s">
        <v>41</v>
      </c>
      <c r="B24" s="127" t="s">
        <v>42</v>
      </c>
      <c r="C24" s="79"/>
      <c r="D24" s="79"/>
      <c r="E24" s="79"/>
      <c r="F24" s="128">
        <f>'Planilha Orçamentária'!K30</f>
        <v>45822.350000000006</v>
      </c>
      <c r="G24" s="129">
        <f>F24/$F$121</f>
        <v>4.6135690275134226E-3</v>
      </c>
    </row>
    <row r="25" spans="1:7" s="3" customFormat="1">
      <c r="A25" s="43"/>
      <c r="B25" s="42"/>
      <c r="C25" s="44"/>
      <c r="D25" s="45"/>
      <c r="E25" s="45"/>
      <c r="F25" s="47"/>
      <c r="G25" s="48"/>
    </row>
    <row r="26" spans="1:7" s="3" customFormat="1">
      <c r="A26" s="64" t="s">
        <v>43</v>
      </c>
      <c r="B26" s="36" t="s">
        <v>44</v>
      </c>
      <c r="C26" s="124" t="s">
        <v>34</v>
      </c>
      <c r="D26" s="124" t="s">
        <v>34</v>
      </c>
      <c r="E26" s="124"/>
      <c r="F26" s="125">
        <f>ROUND((SUM(F27:F27)),2)</f>
        <v>304901.09999999998</v>
      </c>
      <c r="G26" s="112">
        <f>SUM(G27:G27)</f>
        <v>3.0698606060465525E-2</v>
      </c>
    </row>
    <row r="27" spans="1:7" s="3" customFormat="1">
      <c r="A27" s="126" t="s">
        <v>45</v>
      </c>
      <c r="B27" s="127" t="s">
        <v>46</v>
      </c>
      <c r="C27" s="79"/>
      <c r="D27" s="79"/>
      <c r="E27" s="79"/>
      <c r="F27" s="128">
        <f>'Planilha Orçamentária'!K35</f>
        <v>304901.09999999998</v>
      </c>
      <c r="G27" s="129">
        <f>F27/$F$121</f>
        <v>3.0698606060465525E-2</v>
      </c>
    </row>
    <row r="28" spans="1:7" s="3" customFormat="1">
      <c r="A28" s="43"/>
      <c r="B28" s="42"/>
      <c r="C28" s="44"/>
      <c r="D28" s="45"/>
      <c r="E28" s="45"/>
      <c r="F28" s="47"/>
      <c r="G28" s="48"/>
    </row>
    <row r="29" spans="1:7" s="3" customFormat="1">
      <c r="A29" s="64" t="s">
        <v>47</v>
      </c>
      <c r="B29" s="36" t="s">
        <v>48</v>
      </c>
      <c r="C29" s="124" t="s">
        <v>34</v>
      </c>
      <c r="D29" s="124" t="s">
        <v>34</v>
      </c>
      <c r="E29" s="124"/>
      <c r="F29" s="125">
        <f>ROUND((SUM(F30:F30)),2)</f>
        <v>2382.65</v>
      </c>
      <c r="G29" s="112">
        <f>SUM(G30:G30)</f>
        <v>2.3989429270661271E-4</v>
      </c>
    </row>
    <row r="30" spans="1:7" s="3" customFormat="1">
      <c r="A30" s="126" t="s">
        <v>49</v>
      </c>
      <c r="B30" s="127" t="s">
        <v>50</v>
      </c>
      <c r="C30" s="79"/>
      <c r="D30" s="79"/>
      <c r="E30" s="79"/>
      <c r="F30" s="128">
        <f>'Planilha Orçamentária'!K66</f>
        <v>2382.65</v>
      </c>
      <c r="G30" s="129">
        <f>F30/$F$121</f>
        <v>2.3989429270661271E-4</v>
      </c>
    </row>
    <row r="31" spans="1:7" s="3" customFormat="1">
      <c r="A31" s="43"/>
      <c r="B31" s="42"/>
      <c r="C31" s="44"/>
      <c r="D31" s="45"/>
      <c r="E31" s="45"/>
      <c r="F31" s="47"/>
      <c r="G31" s="48"/>
    </row>
    <row r="32" spans="1:7" s="2" customFormat="1" ht="17.25" customHeight="1">
      <c r="A32" s="426">
        <v>2</v>
      </c>
      <c r="B32" s="682" t="s">
        <v>51</v>
      </c>
      <c r="C32" s="682"/>
      <c r="D32" s="682"/>
      <c r="E32" s="682"/>
      <c r="F32" s="477">
        <f>F33+F40+F43+F47+F52</f>
        <v>4465350.7300000004</v>
      </c>
      <c r="G32" s="478">
        <f>G33+G40+G43+G47+G52</f>
        <v>0.44958854849025526</v>
      </c>
    </row>
    <row r="33" spans="1:7" s="3" customFormat="1" ht="15" customHeight="1">
      <c r="A33" s="64" t="s">
        <v>52</v>
      </c>
      <c r="B33" s="36" t="s">
        <v>53</v>
      </c>
      <c r="C33" s="124" t="s">
        <v>34</v>
      </c>
      <c r="D33" s="124" t="s">
        <v>34</v>
      </c>
      <c r="E33" s="124"/>
      <c r="F33" s="125">
        <f>ROUND((SUM(F34:F38)),2)</f>
        <v>206827.33</v>
      </c>
      <c r="G33" s="112">
        <f>SUM(G34:G38)</f>
        <v>2.0824164708516647E-2</v>
      </c>
    </row>
    <row r="34" spans="1:7" s="3" customFormat="1">
      <c r="A34" s="126" t="s">
        <v>54</v>
      </c>
      <c r="B34" s="127" t="s">
        <v>55</v>
      </c>
      <c r="C34" s="79"/>
      <c r="D34" s="79"/>
      <c r="E34" s="79"/>
      <c r="F34" s="128">
        <f>'Planilha Orçamentária'!K71</f>
        <v>18429.879999999997</v>
      </c>
      <c r="G34" s="129">
        <f>F34/$F$121</f>
        <v>1.8555906353294638E-3</v>
      </c>
    </row>
    <row r="35" spans="1:7" s="3" customFormat="1">
      <c r="A35" s="126" t="s">
        <v>56</v>
      </c>
      <c r="B35" s="127" t="s">
        <v>57</v>
      </c>
      <c r="C35" s="79"/>
      <c r="D35" s="79"/>
      <c r="E35" s="79"/>
      <c r="F35" s="128">
        <f>'Planilha Orçamentária'!K77</f>
        <v>9710.2000000000007</v>
      </c>
      <c r="G35" s="129">
        <f>F35/$F$121</f>
        <v>9.7765998406805477E-4</v>
      </c>
    </row>
    <row r="36" spans="1:7" s="3" customFormat="1">
      <c r="A36" s="126" t="s">
        <v>58</v>
      </c>
      <c r="B36" s="127" t="str">
        <f>'Planilha Orçamentária'!D82</f>
        <v>Instalação provisória de Torres de Resfriamento</v>
      </c>
      <c r="C36" s="79"/>
      <c r="D36" s="79"/>
      <c r="E36" s="79"/>
      <c r="F36" s="128">
        <f>'Planilha Orçamentária'!K82</f>
        <v>15313.7</v>
      </c>
      <c r="G36" s="129">
        <f>F36/$F$121</f>
        <v>1.5418417435297904E-3</v>
      </c>
    </row>
    <row r="37" spans="1:7" s="3" customFormat="1" ht="30">
      <c r="A37" s="126" t="s">
        <v>59</v>
      </c>
      <c r="B37" s="127" t="str">
        <f>'Planilha Orçamentária'!D88</f>
        <v>Instalação provisória para atendimento a 3º pavimento ala B</v>
      </c>
      <c r="C37" s="79"/>
      <c r="D37" s="79"/>
      <c r="E37" s="79"/>
      <c r="F37" s="128">
        <f>'Planilha Orçamentária'!K88</f>
        <v>161324.25000000003</v>
      </c>
      <c r="G37" s="129">
        <f>F37/$F$121</f>
        <v>1.6242741002738453E-2</v>
      </c>
    </row>
    <row r="38" spans="1:7" s="3" customFormat="1">
      <c r="A38" s="126" t="s">
        <v>60</v>
      </c>
      <c r="B38" s="127" t="s">
        <v>61</v>
      </c>
      <c r="C38" s="79"/>
      <c r="D38" s="79"/>
      <c r="E38" s="79"/>
      <c r="F38" s="128">
        <f>'Planilha Orçamentária'!K106</f>
        <v>2049.3000000000002</v>
      </c>
      <c r="G38" s="129">
        <f>F38/$F$121</f>
        <v>2.0633134285088513E-4</v>
      </c>
    </row>
    <row r="39" spans="1:7" s="3" customFormat="1" ht="15" customHeight="1">
      <c r="A39" s="43"/>
      <c r="B39" s="42"/>
      <c r="C39" s="44"/>
      <c r="D39" s="45"/>
      <c r="E39" s="45"/>
      <c r="F39" s="47"/>
      <c r="G39" s="48"/>
    </row>
    <row r="40" spans="1:7" s="3" customFormat="1">
      <c r="A40" s="64" t="s">
        <v>62</v>
      </c>
      <c r="B40" s="36" t="s">
        <v>63</v>
      </c>
      <c r="C40" s="124" t="s">
        <v>34</v>
      </c>
      <c r="D40" s="124" t="s">
        <v>34</v>
      </c>
      <c r="E40" s="124"/>
      <c r="F40" s="125">
        <f>ROUND((SUM(F41:F41)),2)</f>
        <v>42150.94</v>
      </c>
      <c r="G40" s="112">
        <f>SUM(G41:G41)</f>
        <v>4.2439174609023014E-3</v>
      </c>
    </row>
    <row r="41" spans="1:7" s="3" customFormat="1">
      <c r="A41" s="126" t="s">
        <v>64</v>
      </c>
      <c r="B41" s="127" t="s">
        <v>65</v>
      </c>
      <c r="C41" s="79"/>
      <c r="D41" s="79"/>
      <c r="E41" s="79"/>
      <c r="F41" s="128">
        <f>'Planilha Orçamentária'!K110</f>
        <v>42150.939999999995</v>
      </c>
      <c r="G41" s="129">
        <f>F41/$F$121</f>
        <v>4.2439174609023014E-3</v>
      </c>
    </row>
    <row r="42" spans="1:7" s="3" customFormat="1">
      <c r="A42" s="43"/>
      <c r="B42" s="42"/>
      <c r="C42" s="44"/>
      <c r="D42" s="45"/>
      <c r="E42" s="45"/>
      <c r="F42" s="47"/>
      <c r="G42" s="48"/>
    </row>
    <row r="43" spans="1:7" s="3" customFormat="1">
      <c r="A43" s="64" t="s">
        <v>66</v>
      </c>
      <c r="B43" s="36" t="str">
        <f>'Planilha Orçamentária'!D117</f>
        <v>INSTALAÇÕES ELÉTRICAS E LÓGICA - CAG</v>
      </c>
      <c r="C43" s="124" t="s">
        <v>34</v>
      </c>
      <c r="D43" s="124" t="s">
        <v>34</v>
      </c>
      <c r="E43" s="124"/>
      <c r="F43" s="125">
        <f>ROUND((SUM(F44:F45)),2)</f>
        <v>620110.11</v>
      </c>
      <c r="G43" s="112">
        <f>SUM(G44:G45)</f>
        <v>6.2435051828287742E-2</v>
      </c>
    </row>
    <row r="44" spans="1:7" s="3" customFormat="1">
      <c r="A44" s="126" t="s">
        <v>67</v>
      </c>
      <c r="B44" s="127" t="s">
        <v>68</v>
      </c>
      <c r="C44" s="79"/>
      <c r="D44" s="79"/>
      <c r="E44" s="79"/>
      <c r="F44" s="128">
        <f>'Planilha Orçamentária'!K118</f>
        <v>541455.07999999996</v>
      </c>
      <c r="G44" s="129">
        <f>F44/$F$121</f>
        <v>5.4515763309341443E-2</v>
      </c>
    </row>
    <row r="45" spans="1:7" s="3" customFormat="1">
      <c r="A45" s="126" t="s">
        <v>69</v>
      </c>
      <c r="B45" s="127" t="s">
        <v>70</v>
      </c>
      <c r="C45" s="79"/>
      <c r="D45" s="79"/>
      <c r="E45" s="79"/>
      <c r="F45" s="128">
        <f>'Planilha Orçamentária'!K132</f>
        <v>78655.03</v>
      </c>
      <c r="G45" s="129">
        <f>F45/$F$121</f>
        <v>7.9192885189463009E-3</v>
      </c>
    </row>
    <row r="46" spans="1:7" s="3" customFormat="1">
      <c r="A46" s="43"/>
      <c r="B46" s="42"/>
      <c r="C46" s="44"/>
      <c r="D46" s="45"/>
      <c r="E46" s="45"/>
      <c r="F46" s="47"/>
      <c r="G46" s="48"/>
    </row>
    <row r="47" spans="1:7" s="3" customFormat="1">
      <c r="A47" s="64" t="s">
        <v>71</v>
      </c>
      <c r="B47" s="36" t="s">
        <v>72</v>
      </c>
      <c r="C47" s="124" t="s">
        <v>34</v>
      </c>
      <c r="D47" s="124" t="s">
        <v>34</v>
      </c>
      <c r="E47" s="124"/>
      <c r="F47" s="125">
        <f>ROUND((SUM(F48:F50)),2)</f>
        <v>3587978.61</v>
      </c>
      <c r="G47" s="112">
        <f>SUM(G48:G50)</f>
        <v>0.36125137594376233</v>
      </c>
    </row>
    <row r="48" spans="1:7" s="3" customFormat="1">
      <c r="A48" s="126" t="s">
        <v>73</v>
      </c>
      <c r="B48" s="127" t="s">
        <v>74</v>
      </c>
      <c r="C48" s="79"/>
      <c r="D48" s="79"/>
      <c r="E48" s="79"/>
      <c r="F48" s="128">
        <f>'Planilha Orçamentária'!K144</f>
        <v>2844010.5999999996</v>
      </c>
      <c r="G48" s="129">
        <f>F48/$F$121</f>
        <v>0.28634583817896425</v>
      </c>
    </row>
    <row r="49" spans="1:7" s="3" customFormat="1" ht="15" customHeight="1">
      <c r="A49" s="126" t="s">
        <v>75</v>
      </c>
      <c r="B49" s="127" t="s">
        <v>76</v>
      </c>
      <c r="C49" s="79"/>
      <c r="D49" s="79"/>
      <c r="E49" s="79"/>
      <c r="F49" s="128">
        <f>'Planilha Orçamentária'!K155</f>
        <v>113194.35000000002</v>
      </c>
      <c r="G49" s="129">
        <f>F49/$F$121</f>
        <v>1.1396839037053184E-2</v>
      </c>
    </row>
    <row r="50" spans="1:7" s="3" customFormat="1" ht="15" customHeight="1">
      <c r="A50" s="126" t="s">
        <v>77</v>
      </c>
      <c r="B50" s="127" t="s">
        <v>78</v>
      </c>
      <c r="C50" s="79"/>
      <c r="D50" s="79"/>
      <c r="E50" s="79"/>
      <c r="F50" s="128">
        <f>'Planilha Orçamentária'!K170</f>
        <v>630773.65999999992</v>
      </c>
      <c r="G50" s="129">
        <f>F50/$F$121</f>
        <v>6.3508698727744894E-2</v>
      </c>
    </row>
    <row r="51" spans="1:7" s="3" customFormat="1" ht="15" customHeight="1">
      <c r="A51" s="43"/>
      <c r="B51" s="42"/>
      <c r="C51" s="44"/>
      <c r="D51" s="45"/>
      <c r="E51" s="45"/>
      <c r="F51" s="47"/>
      <c r="G51" s="48"/>
    </row>
    <row r="52" spans="1:7" s="3" customFormat="1">
      <c r="A52" s="64" t="s">
        <v>79</v>
      </c>
      <c r="B52" s="36" t="s">
        <v>48</v>
      </c>
      <c r="C52" s="124" t="s">
        <v>34</v>
      </c>
      <c r="D52" s="124" t="s">
        <v>34</v>
      </c>
      <c r="E52" s="124"/>
      <c r="F52" s="125">
        <f>ROUND((SUM(F53:F54)),2)</f>
        <v>8283.74</v>
      </c>
      <c r="G52" s="112">
        <f>SUM(G53:G54)</f>
        <v>8.3403854878621531E-4</v>
      </c>
    </row>
    <row r="53" spans="1:7" s="3" customFormat="1">
      <c r="A53" s="126" t="s">
        <v>80</v>
      </c>
      <c r="B53" s="127" t="s">
        <v>50</v>
      </c>
      <c r="C53" s="79"/>
      <c r="D53" s="79"/>
      <c r="E53" s="79"/>
      <c r="F53" s="128">
        <f>'Planilha Orçamentária'!K276</f>
        <v>5241.83</v>
      </c>
      <c r="G53" s="129">
        <f>F53/$F$121</f>
        <v>5.2776744395454799E-4</v>
      </c>
    </row>
    <row r="54" spans="1:7" s="3" customFormat="1" ht="15" customHeight="1">
      <c r="A54" s="126" t="s">
        <v>81</v>
      </c>
      <c r="B54" s="127" t="s">
        <v>82</v>
      </c>
      <c r="C54" s="79"/>
      <c r="D54" s="79"/>
      <c r="E54" s="79"/>
      <c r="F54" s="128">
        <f>'Planilha Orçamentária'!K279</f>
        <v>3041.91</v>
      </c>
      <c r="G54" s="129">
        <f>F54/$F$121</f>
        <v>3.0627110483166738E-4</v>
      </c>
    </row>
    <row r="55" spans="1:7" s="3" customFormat="1">
      <c r="A55" s="43"/>
      <c r="B55" s="42"/>
      <c r="C55" s="44"/>
      <c r="D55" s="45"/>
      <c r="E55" s="45"/>
      <c r="F55" s="47"/>
      <c r="G55" s="48"/>
    </row>
    <row r="56" spans="1:7" s="2" customFormat="1" ht="17.25" customHeight="1">
      <c r="A56" s="426"/>
      <c r="B56" s="682" t="s">
        <v>83</v>
      </c>
      <c r="C56" s="682"/>
      <c r="D56" s="682"/>
      <c r="E56" s="682"/>
      <c r="F56" s="477">
        <f>F57+F61+F65+F68+F73+F81</f>
        <v>3684166.06</v>
      </c>
      <c r="G56" s="478">
        <f>G57+G61+G65+G68+G73+G81</f>
        <v>0.3709358954010904</v>
      </c>
    </row>
    <row r="57" spans="1:7" s="3" customFormat="1" ht="15" customHeight="1">
      <c r="A57" s="64" t="s">
        <v>84</v>
      </c>
      <c r="B57" s="36" t="s">
        <v>85</v>
      </c>
      <c r="C57" s="124" t="s">
        <v>34</v>
      </c>
      <c r="D57" s="124" t="s">
        <v>34</v>
      </c>
      <c r="E57" s="124"/>
      <c r="F57" s="125">
        <f>ROUND((SUM(F58:F59)),2)</f>
        <v>54228.39</v>
      </c>
      <c r="G57" s="112">
        <f>SUM(G58:G59)</f>
        <v>5.4599212069201724E-3</v>
      </c>
    </row>
    <row r="58" spans="1:7" s="3" customFormat="1">
      <c r="A58" s="126" t="s">
        <v>86</v>
      </c>
      <c r="B58" s="127" t="s">
        <v>55</v>
      </c>
      <c r="C58" s="79"/>
      <c r="D58" s="79"/>
      <c r="E58" s="79"/>
      <c r="F58" s="128">
        <f>'Planilha Orçamentária'!K284</f>
        <v>34964.97</v>
      </c>
      <c r="G58" s="129">
        <f>F58/$F$121</f>
        <v>3.5204065841218527E-3</v>
      </c>
    </row>
    <row r="59" spans="1:7" s="3" customFormat="1">
      <c r="A59" s="126" t="s">
        <v>87</v>
      </c>
      <c r="B59" s="127" t="s">
        <v>61</v>
      </c>
      <c r="C59" s="79"/>
      <c r="D59" s="79"/>
      <c r="E59" s="79"/>
      <c r="F59" s="128">
        <f>'Planilha Orçamentária'!K290</f>
        <v>19263.419999999998</v>
      </c>
      <c r="G59" s="129">
        <f>F59/$F$121</f>
        <v>1.9395146227983199E-3</v>
      </c>
    </row>
    <row r="60" spans="1:7" s="3" customFormat="1" ht="15" customHeight="1">
      <c r="A60" s="43"/>
      <c r="B60" s="42"/>
      <c r="C60" s="44"/>
      <c r="D60" s="45"/>
      <c r="E60" s="45"/>
      <c r="F60" s="47"/>
      <c r="G60" s="48"/>
    </row>
    <row r="61" spans="1:7" s="3" customFormat="1" ht="15" customHeight="1">
      <c r="A61" s="64" t="s">
        <v>88</v>
      </c>
      <c r="B61" s="36" t="s">
        <v>89</v>
      </c>
      <c r="C61" s="124" t="s">
        <v>34</v>
      </c>
      <c r="D61" s="124" t="s">
        <v>34</v>
      </c>
      <c r="E61" s="124"/>
      <c r="F61" s="125">
        <f>ROUND((SUM(F62:F63)),2)</f>
        <v>495764.44</v>
      </c>
      <c r="G61" s="112">
        <f>SUM(G62+G63)</f>
        <v>4.991545534715125E-2</v>
      </c>
    </row>
    <row r="62" spans="1:7" s="3" customFormat="1" ht="15" customHeight="1">
      <c r="A62" s="126" t="s">
        <v>90</v>
      </c>
      <c r="B62" s="127" t="str">
        <f>'Planilha Orçamentária'!D294</f>
        <v>FORRO E DRYWALL</v>
      </c>
      <c r="C62" s="79"/>
      <c r="D62" s="79"/>
      <c r="E62" s="79"/>
      <c r="F62" s="128">
        <f>'Planilha Orçamentária'!K294</f>
        <v>344384.7</v>
      </c>
      <c r="G62" s="129">
        <f>F62/$F$121</f>
        <v>3.4673965553261708E-2</v>
      </c>
    </row>
    <row r="63" spans="1:7" s="3" customFormat="1">
      <c r="A63" s="126" t="s">
        <v>91</v>
      </c>
      <c r="B63" s="127" t="s">
        <v>92</v>
      </c>
      <c r="C63" s="79"/>
      <c r="D63" s="79"/>
      <c r="E63" s="79"/>
      <c r="F63" s="128">
        <f>'Planilha Orçamentária'!K297</f>
        <v>151379.74</v>
      </c>
      <c r="G63" s="129">
        <f>F63/$F$121</f>
        <v>1.5241489793889545E-2</v>
      </c>
    </row>
    <row r="64" spans="1:7" s="3" customFormat="1" ht="15" customHeight="1">
      <c r="A64" s="43"/>
      <c r="B64" s="42"/>
      <c r="C64" s="44"/>
      <c r="D64" s="45"/>
      <c r="E64" s="45"/>
      <c r="F64" s="47"/>
      <c r="G64" s="48"/>
    </row>
    <row r="65" spans="1:7" s="3" customFormat="1" ht="15" customHeight="1">
      <c r="A65" s="64" t="s">
        <v>93</v>
      </c>
      <c r="B65" s="36" t="s">
        <v>94</v>
      </c>
      <c r="C65" s="124" t="s">
        <v>34</v>
      </c>
      <c r="D65" s="124" t="s">
        <v>34</v>
      </c>
      <c r="E65" s="124"/>
      <c r="F65" s="125">
        <f>ROUND((SUM(F66)),2)</f>
        <v>3734.84</v>
      </c>
      <c r="G65" s="112">
        <f>SUM(G66)</f>
        <v>3.7603794102044594E-4</v>
      </c>
    </row>
    <row r="66" spans="1:7" s="3" customFormat="1">
      <c r="A66" s="126" t="s">
        <v>95</v>
      </c>
      <c r="B66" s="127" t="s">
        <v>96</v>
      </c>
      <c r="C66" s="79"/>
      <c r="D66" s="79"/>
      <c r="E66" s="79"/>
      <c r="F66" s="128">
        <f>'Planilha Orçamentária'!K312</f>
        <v>3734.8400000000006</v>
      </c>
      <c r="G66" s="129">
        <f>F66/$F$121</f>
        <v>3.7603794102044594E-4</v>
      </c>
    </row>
    <row r="67" spans="1:7" s="3" customFormat="1" ht="15" customHeight="1">
      <c r="A67" s="43"/>
      <c r="B67" s="42"/>
      <c r="C67" s="44"/>
      <c r="D67" s="45"/>
      <c r="E67" s="45"/>
      <c r="F67" s="47"/>
      <c r="G67" s="48"/>
    </row>
    <row r="68" spans="1:7" s="3" customFormat="1" ht="15" customHeight="1">
      <c r="A68" s="64" t="s">
        <v>97</v>
      </c>
      <c r="B68" s="36" t="s">
        <v>98</v>
      </c>
      <c r="C68" s="124" t="s">
        <v>34</v>
      </c>
      <c r="D68" s="124" t="s">
        <v>34</v>
      </c>
      <c r="E68" s="124"/>
      <c r="F68" s="125">
        <f>ROUND((SUM(F69:F71)),2)</f>
        <v>1099387.72</v>
      </c>
      <c r="G68" s="112">
        <f>SUM(G69:G71)</f>
        <v>0.11069055022757669</v>
      </c>
    </row>
    <row r="69" spans="1:7" s="3" customFormat="1">
      <c r="A69" s="126" t="s">
        <v>99</v>
      </c>
      <c r="B69" s="127" t="s">
        <v>68</v>
      </c>
      <c r="C69" s="79"/>
      <c r="D69" s="79"/>
      <c r="E69" s="79"/>
      <c r="F69" s="128">
        <f>'Planilha Orçamentária'!K329</f>
        <v>922915.13000000012</v>
      </c>
      <c r="G69" s="129">
        <f t="shared" ref="G69:G71" si="0">F69/$F$121</f>
        <v>9.2922616557019097E-2</v>
      </c>
    </row>
    <row r="70" spans="1:7" s="3" customFormat="1" ht="15" customHeight="1">
      <c r="A70" s="126" t="s">
        <v>100</v>
      </c>
      <c r="B70" s="127" t="s">
        <v>101</v>
      </c>
      <c r="C70" s="79"/>
      <c r="D70" s="79"/>
      <c r="E70" s="79"/>
      <c r="F70" s="128">
        <f>'Planilha Orçamentária'!K392</f>
        <v>96623.219999999987</v>
      </c>
      <c r="G70" s="129">
        <f t="shared" si="0"/>
        <v>9.7283944435546266E-3</v>
      </c>
    </row>
    <row r="71" spans="1:7" s="3" customFormat="1" ht="15" customHeight="1">
      <c r="A71" s="126" t="s">
        <v>102</v>
      </c>
      <c r="B71" s="127" t="s">
        <v>103</v>
      </c>
      <c r="C71" s="79"/>
      <c r="D71" s="79"/>
      <c r="E71" s="79"/>
      <c r="F71" s="128">
        <f>'Planilha Orçamentária'!K402</f>
        <v>79849.37</v>
      </c>
      <c r="G71" s="129">
        <f t="shared" si="0"/>
        <v>8.0395392270029668E-3</v>
      </c>
    </row>
    <row r="72" spans="1:7" s="3" customFormat="1" ht="15" customHeight="1">
      <c r="A72" s="43"/>
      <c r="B72" s="42"/>
      <c r="C72" s="44"/>
      <c r="D72" s="45"/>
      <c r="E72" s="45"/>
      <c r="F72" s="47"/>
      <c r="G72" s="48"/>
    </row>
    <row r="73" spans="1:7" s="3" customFormat="1" ht="15" customHeight="1">
      <c r="A73" s="64" t="s">
        <v>104</v>
      </c>
      <c r="B73" s="36" t="s">
        <v>105</v>
      </c>
      <c r="C73" s="124" t="s">
        <v>34</v>
      </c>
      <c r="D73" s="124" t="s">
        <v>34</v>
      </c>
      <c r="E73" s="124"/>
      <c r="F73" s="125">
        <f>ROUND((SUM(F74:F79)),2)</f>
        <v>2017025.34</v>
      </c>
      <c r="G73" s="112">
        <f>SUM(G74:G79)</f>
        <v>0.20308180694210853</v>
      </c>
    </row>
    <row r="74" spans="1:7" s="3" customFormat="1">
      <c r="A74" s="126" t="s">
        <v>106</v>
      </c>
      <c r="B74" s="127" t="s">
        <v>74</v>
      </c>
      <c r="C74" s="79"/>
      <c r="D74" s="79"/>
      <c r="E74" s="79"/>
      <c r="F74" s="128">
        <f>'Planilha Orçamentária'!K413</f>
        <v>985034.90999999957</v>
      </c>
      <c r="G74" s="129">
        <f t="shared" ref="G74:G79" si="1">F74/$F$121</f>
        <v>9.917707301776249E-2</v>
      </c>
    </row>
    <row r="75" spans="1:7" s="3" customFormat="1" ht="15" customHeight="1">
      <c r="A75" s="126" t="s">
        <v>107</v>
      </c>
      <c r="B75" s="127" t="s">
        <v>108</v>
      </c>
      <c r="C75" s="79"/>
      <c r="D75" s="79"/>
      <c r="E75" s="79"/>
      <c r="F75" s="128">
        <f>'Planilha Orçamentária'!K483</f>
        <v>68832.429999999993</v>
      </c>
      <c r="G75" s="129">
        <f t="shared" si="1"/>
        <v>6.9303116740299367E-3</v>
      </c>
    </row>
    <row r="76" spans="1:7" s="3" customFormat="1" ht="15" customHeight="1">
      <c r="A76" s="126" t="s">
        <v>109</v>
      </c>
      <c r="B76" s="127" t="s">
        <v>110</v>
      </c>
      <c r="C76" s="79"/>
      <c r="D76" s="79"/>
      <c r="E76" s="79"/>
      <c r="F76" s="128">
        <f>'Planilha Orçamentária'!K486</f>
        <v>639583.62999999989</v>
      </c>
      <c r="G76" s="129">
        <f t="shared" si="1"/>
        <v>6.4395720120696637E-2</v>
      </c>
    </row>
    <row r="77" spans="1:7" s="3" customFormat="1" ht="15" customHeight="1">
      <c r="A77" s="126" t="s">
        <v>111</v>
      </c>
      <c r="B77" s="127" t="s">
        <v>112</v>
      </c>
      <c r="C77" s="79"/>
      <c r="D77" s="79"/>
      <c r="E77" s="79"/>
      <c r="F77" s="128">
        <f>'Planilha Orçamentária'!K497</f>
        <v>18622.849999999999</v>
      </c>
      <c r="G77" s="129">
        <f t="shared" si="1"/>
        <v>1.8750195911826505E-3</v>
      </c>
    </row>
    <row r="78" spans="1:7" s="3" customFormat="1" ht="15" customHeight="1">
      <c r="A78" s="126" t="s">
        <v>113</v>
      </c>
      <c r="B78" s="127" t="s">
        <v>114</v>
      </c>
      <c r="C78" s="79"/>
      <c r="D78" s="79"/>
      <c r="E78" s="79"/>
      <c r="F78" s="128">
        <f>'Planilha Orçamentária'!K499</f>
        <v>3275.63</v>
      </c>
      <c r="G78" s="129">
        <f t="shared" si="1"/>
        <v>3.2980292616144286E-4</v>
      </c>
    </row>
    <row r="79" spans="1:7" s="3" customFormat="1" ht="15" customHeight="1">
      <c r="A79" s="126" t="s">
        <v>115</v>
      </c>
      <c r="B79" s="127" t="s">
        <v>68</v>
      </c>
      <c r="C79" s="79"/>
      <c r="D79" s="79"/>
      <c r="E79" s="79"/>
      <c r="F79" s="128">
        <f>'Planilha Orçamentária'!K501</f>
        <v>301675.89000000007</v>
      </c>
      <c r="G79" s="129">
        <f t="shared" si="1"/>
        <v>3.0373879612275372E-2</v>
      </c>
    </row>
    <row r="80" spans="1:7" s="3" customFormat="1" ht="15" customHeight="1">
      <c r="A80" s="43"/>
      <c r="B80" s="42"/>
      <c r="C80" s="44"/>
      <c r="D80" s="45"/>
      <c r="E80" s="45"/>
      <c r="F80" s="47"/>
      <c r="G80" s="48"/>
    </row>
    <row r="81" spans="1:7" s="3" customFormat="1" ht="15" customHeight="1">
      <c r="A81" s="64" t="s">
        <v>116</v>
      </c>
      <c r="B81" s="36" t="s">
        <v>48</v>
      </c>
      <c r="C81" s="124" t="s">
        <v>34</v>
      </c>
      <c r="D81" s="124" t="s">
        <v>34</v>
      </c>
      <c r="E81" s="124"/>
      <c r="F81" s="125">
        <f>ROUND((SUM(F82:F83)),2)</f>
        <v>14025.33</v>
      </c>
      <c r="G81" s="112">
        <f>SUM(G82:G83)</f>
        <v>1.4121237363132798E-3</v>
      </c>
    </row>
    <row r="82" spans="1:7" s="3" customFormat="1">
      <c r="A82" s="126" t="s">
        <v>117</v>
      </c>
      <c r="B82" s="127" t="s">
        <v>50</v>
      </c>
      <c r="C82" s="79"/>
      <c r="D82" s="79"/>
      <c r="E82" s="79"/>
      <c r="F82" s="128">
        <f>'Planilha Orçamentária'!K527</f>
        <v>5241.83</v>
      </c>
      <c r="G82" s="129">
        <f t="shared" ref="G82:G119" si="2">F82/$F$121</f>
        <v>5.2776744395454799E-4</v>
      </c>
    </row>
    <row r="83" spans="1:7" s="3" customFormat="1" ht="15" customHeight="1">
      <c r="A83" s="126" t="s">
        <v>118</v>
      </c>
      <c r="B83" s="127" t="s">
        <v>82</v>
      </c>
      <c r="C83" s="79"/>
      <c r="D83" s="79"/>
      <c r="E83" s="79"/>
      <c r="F83" s="128">
        <f>'Planilha Orçamentária'!K530</f>
        <v>8783.5</v>
      </c>
      <c r="G83" s="129">
        <f t="shared" si="2"/>
        <v>8.8435629235873194E-4</v>
      </c>
    </row>
    <row r="84" spans="1:7" s="3" customFormat="1">
      <c r="A84" s="43"/>
      <c r="B84" s="42"/>
      <c r="C84" s="44"/>
      <c r="D84" s="45"/>
      <c r="E84" s="45"/>
      <c r="F84" s="47"/>
      <c r="G84" s="48"/>
    </row>
    <row r="85" spans="1:7" s="3" customFormat="1">
      <c r="A85" s="64">
        <v>4</v>
      </c>
      <c r="B85" s="36" t="s">
        <v>2527</v>
      </c>
      <c r="C85" s="124" t="s">
        <v>34</v>
      </c>
      <c r="D85" s="124" t="s">
        <v>34</v>
      </c>
      <c r="E85" s="124"/>
      <c r="F85" s="125">
        <f>'Planilha Orçamentária'!K533</f>
        <v>435822.89</v>
      </c>
      <c r="G85" s="112">
        <f t="shared" si="2"/>
        <v>4.3880311393575171E-2</v>
      </c>
    </row>
    <row r="86" spans="1:7" s="3" customFormat="1">
      <c r="A86" s="523"/>
      <c r="B86" s="525"/>
      <c r="C86" s="526"/>
      <c r="D86" s="527"/>
      <c r="E86" s="527"/>
      <c r="F86" s="529"/>
      <c r="G86" s="582"/>
    </row>
    <row r="87" spans="1:7" s="3" customFormat="1">
      <c r="A87" s="64">
        <v>5</v>
      </c>
      <c r="B87" s="36" t="s">
        <v>2548</v>
      </c>
      <c r="C87" s="124" t="s">
        <v>34</v>
      </c>
      <c r="D87" s="124" t="s">
        <v>34</v>
      </c>
      <c r="E87" s="124"/>
      <c r="F87" s="125">
        <f>'Planilha Orçamentária'!K545</f>
        <v>68994.790000000008</v>
      </c>
      <c r="G87" s="112">
        <f t="shared" si="2"/>
        <v>6.9466586982944523E-3</v>
      </c>
    </row>
    <row r="88" spans="1:7" s="3" customFormat="1">
      <c r="A88" s="523"/>
      <c r="B88" s="525"/>
      <c r="C88" s="526"/>
      <c r="D88" s="527"/>
      <c r="E88" s="527"/>
      <c r="F88" s="529"/>
      <c r="G88" s="582"/>
    </row>
    <row r="89" spans="1:7" s="3" customFormat="1">
      <c r="A89" s="64">
        <v>6</v>
      </c>
      <c r="B89" s="36" t="s">
        <v>2611</v>
      </c>
      <c r="C89" s="124" t="s">
        <v>34</v>
      </c>
      <c r="D89" s="124" t="s">
        <v>34</v>
      </c>
      <c r="E89" s="124"/>
      <c r="F89" s="125">
        <f>'Planilha Orçamentária'!K570</f>
        <v>32946.700000000004</v>
      </c>
      <c r="G89" s="112">
        <f t="shared" si="2"/>
        <v>3.3171994600620981E-3</v>
      </c>
    </row>
    <row r="90" spans="1:7" s="3" customFormat="1">
      <c r="A90" s="523"/>
      <c r="B90" s="525"/>
      <c r="C90" s="526"/>
      <c r="D90" s="527"/>
      <c r="E90" s="527"/>
      <c r="F90" s="529"/>
      <c r="G90" s="582"/>
    </row>
    <row r="91" spans="1:7" s="3" customFormat="1">
      <c r="A91" s="64">
        <v>7</v>
      </c>
      <c r="B91" s="36" t="s">
        <v>2628</v>
      </c>
      <c r="C91" s="124" t="s">
        <v>34</v>
      </c>
      <c r="D91" s="124" t="s">
        <v>34</v>
      </c>
      <c r="E91" s="124"/>
      <c r="F91" s="125">
        <f>'Planilha Orçamentária'!K580</f>
        <v>118474.01000000001</v>
      </c>
      <c r="G91" s="112">
        <f t="shared" si="2"/>
        <v>1.1928415349743421E-2</v>
      </c>
    </row>
    <row r="92" spans="1:7" s="3" customFormat="1">
      <c r="A92" s="523"/>
      <c r="B92" s="525"/>
      <c r="C92" s="526"/>
      <c r="D92" s="527"/>
      <c r="E92" s="527"/>
      <c r="F92" s="529"/>
      <c r="G92" s="582"/>
    </row>
    <row r="93" spans="1:7" s="3" customFormat="1">
      <c r="A93" s="64">
        <v>8</v>
      </c>
      <c r="B93" s="36" t="s">
        <v>2661</v>
      </c>
      <c r="C93" s="124" t="s">
        <v>34</v>
      </c>
      <c r="D93" s="124" t="s">
        <v>34</v>
      </c>
      <c r="E93" s="124"/>
      <c r="F93" s="125">
        <f>'Planilha Orçamentária'!K593</f>
        <v>83358.92</v>
      </c>
      <c r="G93" s="112">
        <f t="shared" si="2"/>
        <v>8.3928941112572601E-3</v>
      </c>
    </row>
    <row r="94" spans="1:7" s="3" customFormat="1">
      <c r="A94" s="523"/>
      <c r="B94" s="525"/>
      <c r="C94" s="526"/>
      <c r="D94" s="527"/>
      <c r="E94" s="527"/>
      <c r="F94" s="529"/>
      <c r="G94" s="582"/>
    </row>
    <row r="95" spans="1:7" s="3" customFormat="1">
      <c r="A95" s="64">
        <v>9</v>
      </c>
      <c r="B95" s="36" t="s">
        <v>2669</v>
      </c>
      <c r="C95" s="124" t="s">
        <v>34</v>
      </c>
      <c r="D95" s="124" t="s">
        <v>34</v>
      </c>
      <c r="E95" s="124"/>
      <c r="F95" s="125">
        <f>'Planilha Orçamentária'!K597</f>
        <v>20635.129999999997</v>
      </c>
      <c r="G95" s="112">
        <f t="shared" si="2"/>
        <v>2.0776236191883007E-3</v>
      </c>
    </row>
    <row r="96" spans="1:7" s="3" customFormat="1">
      <c r="A96" s="523"/>
      <c r="B96" s="525"/>
      <c r="C96" s="526"/>
      <c r="D96" s="527"/>
      <c r="E96" s="527"/>
      <c r="F96" s="529"/>
      <c r="G96" s="582"/>
    </row>
    <row r="97" spans="1:7" s="3" customFormat="1">
      <c r="A97" s="64">
        <v>10</v>
      </c>
      <c r="B97" s="36" t="s">
        <v>2683</v>
      </c>
      <c r="C97" s="124" t="s">
        <v>34</v>
      </c>
      <c r="D97" s="124" t="s">
        <v>34</v>
      </c>
      <c r="E97" s="124"/>
      <c r="F97" s="125">
        <f>'Planilha Orçamentária'!K605</f>
        <v>27986.17</v>
      </c>
      <c r="G97" s="112">
        <f t="shared" si="2"/>
        <v>2.8177543733729346E-3</v>
      </c>
    </row>
    <row r="98" spans="1:7" s="3" customFormat="1">
      <c r="A98" s="126" t="s">
        <v>2750</v>
      </c>
      <c r="B98" s="127" t="s">
        <v>2684</v>
      </c>
      <c r="C98" s="79"/>
      <c r="D98" s="79"/>
      <c r="E98" s="79"/>
      <c r="F98" s="128">
        <f>'Planilha Orçamentária'!K606</f>
        <v>12998.49</v>
      </c>
      <c r="G98" s="129">
        <f t="shared" si="2"/>
        <v>1.3087375673321629E-3</v>
      </c>
    </row>
    <row r="99" spans="1:7" s="3" customFormat="1">
      <c r="A99" s="126" t="s">
        <v>2760</v>
      </c>
      <c r="B99" s="127" t="s">
        <v>2697</v>
      </c>
      <c r="C99" s="79"/>
      <c r="D99" s="79"/>
      <c r="E99" s="79"/>
      <c r="F99" s="128">
        <f>'Planilha Orçamentária'!K616</f>
        <v>2849.17</v>
      </c>
      <c r="G99" s="129">
        <f t="shared" si="2"/>
        <v>2.8686530625601737E-4</v>
      </c>
    </row>
    <row r="100" spans="1:7" s="3" customFormat="1">
      <c r="A100" s="126" t="s">
        <v>2767</v>
      </c>
      <c r="B100" s="127" t="s">
        <v>94</v>
      </c>
      <c r="C100" s="79"/>
      <c r="D100" s="79"/>
      <c r="E100" s="79"/>
      <c r="F100" s="128">
        <f>'Planilha Orçamentária'!K623</f>
        <v>5300.57</v>
      </c>
      <c r="G100" s="129">
        <f t="shared" si="2"/>
        <v>5.3368161126975849E-4</v>
      </c>
    </row>
    <row r="101" spans="1:7" s="3" customFormat="1">
      <c r="A101" s="126" t="s">
        <v>2787</v>
      </c>
      <c r="B101" s="127" t="s">
        <v>2729</v>
      </c>
      <c r="C101" s="79"/>
      <c r="D101" s="79"/>
      <c r="E101" s="79"/>
      <c r="F101" s="128">
        <f>'Planilha Orçamentária'!K643</f>
        <v>5263.69</v>
      </c>
      <c r="G101" s="129">
        <f t="shared" si="2"/>
        <v>5.2996839215867632E-4</v>
      </c>
    </row>
    <row r="102" spans="1:7" s="3" customFormat="1">
      <c r="A102" s="126" t="s">
        <v>2791</v>
      </c>
      <c r="B102" s="127" t="s">
        <v>2734</v>
      </c>
      <c r="C102" s="79"/>
      <c r="D102" s="79"/>
      <c r="E102" s="79"/>
      <c r="F102" s="128">
        <f>'Planilha Orçamentária'!K647</f>
        <v>1574.25</v>
      </c>
      <c r="G102" s="129">
        <f t="shared" si="2"/>
        <v>1.5850149635631967E-4</v>
      </c>
    </row>
    <row r="103" spans="1:7" s="3" customFormat="1">
      <c r="A103" s="523"/>
      <c r="B103" s="525"/>
      <c r="C103" s="526"/>
      <c r="D103" s="527"/>
      <c r="E103" s="527"/>
      <c r="F103" s="529"/>
      <c r="G103" s="582"/>
    </row>
    <row r="104" spans="1:7" s="3" customFormat="1">
      <c r="A104" s="64">
        <v>11</v>
      </c>
      <c r="B104" s="36" t="s">
        <v>2830</v>
      </c>
      <c r="C104" s="124" t="s">
        <v>34</v>
      </c>
      <c r="D104" s="124" t="s">
        <v>34</v>
      </c>
      <c r="E104" s="124"/>
      <c r="F104" s="125">
        <f>'Planilha Orçamentária'!K660</f>
        <v>304870.87999999995</v>
      </c>
      <c r="G104" s="112">
        <f t="shared" si="2"/>
        <v>3.0695563395564847E-2</v>
      </c>
    </row>
    <row r="105" spans="1:7" s="3" customFormat="1">
      <c r="A105" s="126" t="s">
        <v>2816</v>
      </c>
      <c r="B105" s="127" t="s">
        <v>38</v>
      </c>
      <c r="C105" s="79"/>
      <c r="D105" s="79"/>
      <c r="E105" s="79"/>
      <c r="F105" s="128">
        <f>'Planilha Orçamentária'!K661</f>
        <v>1573.6599999999999</v>
      </c>
      <c r="G105" s="129">
        <f t="shared" si="2"/>
        <v>1.5844209290524758E-4</v>
      </c>
    </row>
    <row r="106" spans="1:7" s="3" customFormat="1">
      <c r="A106" s="126" t="s">
        <v>2845</v>
      </c>
      <c r="B106" s="127" t="s">
        <v>2831</v>
      </c>
      <c r="C106" s="79"/>
      <c r="D106" s="79"/>
      <c r="E106" s="79"/>
      <c r="F106" s="128">
        <f>'Planilha Orçamentária'!K675</f>
        <v>405.45000000000005</v>
      </c>
      <c r="G106" s="129">
        <f t="shared" si="2"/>
        <v>4.0822252944367041E-5</v>
      </c>
    </row>
    <row r="107" spans="1:7" s="3" customFormat="1">
      <c r="A107" s="126" t="s">
        <v>2849</v>
      </c>
      <c r="B107" s="127" t="s">
        <v>2837</v>
      </c>
      <c r="C107" s="79"/>
      <c r="D107" s="79"/>
      <c r="E107" s="79"/>
      <c r="F107" s="128">
        <f>'Planilha Orçamentária'!K679</f>
        <v>1315.03</v>
      </c>
      <c r="G107" s="129">
        <f t="shared" si="2"/>
        <v>1.3240223773444565E-4</v>
      </c>
    </row>
    <row r="108" spans="1:7" s="3" customFormat="1">
      <c r="A108" s="126" t="s">
        <v>2851</v>
      </c>
      <c r="B108" s="127" t="s">
        <v>2839</v>
      </c>
      <c r="C108" s="79"/>
      <c r="D108" s="79"/>
      <c r="E108" s="79"/>
      <c r="F108" s="128">
        <f>'Planilha Orçamentária'!K681</f>
        <v>9052.77</v>
      </c>
      <c r="G108" s="129">
        <f t="shared" si="2"/>
        <v>9.1146742332513895E-4</v>
      </c>
    </row>
    <row r="109" spans="1:7" s="3" customFormat="1">
      <c r="A109" s="126" t="s">
        <v>2883</v>
      </c>
      <c r="B109" s="127" t="s">
        <v>2855</v>
      </c>
      <c r="C109" s="79"/>
      <c r="D109" s="79"/>
      <c r="E109" s="79"/>
      <c r="F109" s="128">
        <f>'Planilha Orçamentária'!K685</f>
        <v>27621.52</v>
      </c>
      <c r="G109" s="129">
        <f t="shared" si="2"/>
        <v>2.7810400200959256E-3</v>
      </c>
    </row>
    <row r="110" spans="1:7" s="3" customFormat="1">
      <c r="A110" s="126" t="s">
        <v>2901</v>
      </c>
      <c r="B110" s="683" t="s">
        <v>2880</v>
      </c>
      <c r="C110" s="684"/>
      <c r="D110" s="79"/>
      <c r="E110" s="79"/>
      <c r="F110" s="128">
        <f>'Planilha Orçamentária'!K703</f>
        <v>652.95000000000005</v>
      </c>
      <c r="G110" s="129">
        <f t="shared" si="2"/>
        <v>6.5741497250029502E-5</v>
      </c>
    </row>
    <row r="111" spans="1:7" s="3" customFormat="1">
      <c r="A111" s="126" t="s">
        <v>2927</v>
      </c>
      <c r="B111" s="127" t="s">
        <v>2904</v>
      </c>
      <c r="C111" s="79"/>
      <c r="D111" s="79"/>
      <c r="E111" s="79"/>
      <c r="F111" s="128">
        <f>'Planilha Orçamentária'!K706</f>
        <v>208330.5</v>
      </c>
      <c r="G111" s="129">
        <f t="shared" si="2"/>
        <v>2.0975509599276007E-2</v>
      </c>
    </row>
    <row r="112" spans="1:7" s="3" customFormat="1">
      <c r="A112" s="126" t="s">
        <v>2929</v>
      </c>
      <c r="B112" s="127" t="s">
        <v>2908</v>
      </c>
      <c r="C112" s="79"/>
      <c r="D112" s="79"/>
      <c r="E112" s="79"/>
      <c r="F112" s="128">
        <f>'Planilha Orçamentária'!K708</f>
        <v>6345.27</v>
      </c>
      <c r="G112" s="129">
        <f t="shared" si="2"/>
        <v>6.3886599319349822E-4</v>
      </c>
    </row>
    <row r="113" spans="1:8" s="3" customFormat="1">
      <c r="A113" s="126" t="s">
        <v>2935</v>
      </c>
      <c r="B113" s="127" t="s">
        <v>2915</v>
      </c>
      <c r="C113" s="79"/>
      <c r="D113" s="79"/>
      <c r="E113" s="79"/>
      <c r="F113" s="128">
        <f>'Planilha Orçamentária'!K714</f>
        <v>5491.38</v>
      </c>
      <c r="G113" s="129">
        <f t="shared" si="2"/>
        <v>5.5289309008173205E-4</v>
      </c>
    </row>
    <row r="114" spans="1:8" s="3" customFormat="1">
      <c r="A114" s="126" t="s">
        <v>2937</v>
      </c>
      <c r="B114" s="127" t="s">
        <v>2918</v>
      </c>
      <c r="C114" s="79"/>
      <c r="D114" s="79"/>
      <c r="E114" s="79"/>
      <c r="F114" s="128">
        <f>'Planilha Orçamentária'!K716</f>
        <v>34424.81</v>
      </c>
      <c r="G114" s="129">
        <f t="shared" si="2"/>
        <v>3.4660212144081285E-3</v>
      </c>
    </row>
    <row r="115" spans="1:8" s="3" customFormat="1">
      <c r="A115" s="126" t="s">
        <v>2941</v>
      </c>
      <c r="B115" s="127" t="s">
        <v>46</v>
      </c>
      <c r="C115" s="79"/>
      <c r="D115" s="79"/>
      <c r="E115" s="79"/>
      <c r="F115" s="128">
        <f>'Planilha Orçamentária'!K720</f>
        <v>6334.52</v>
      </c>
      <c r="G115" s="129">
        <f t="shared" si="2"/>
        <v>6.3778364217820173E-4</v>
      </c>
    </row>
    <row r="116" spans="1:8" s="3" customFormat="1">
      <c r="A116" s="126" t="s">
        <v>2947</v>
      </c>
      <c r="B116" s="127" t="s">
        <v>50</v>
      </c>
      <c r="C116" s="79"/>
      <c r="D116" s="79"/>
      <c r="E116" s="79"/>
      <c r="F116" s="128">
        <f>'Planilha Orçamentária'!K724</f>
        <v>2832.55</v>
      </c>
      <c r="G116" s="129">
        <f t="shared" si="2"/>
        <v>2.8519194124446135E-4</v>
      </c>
    </row>
    <row r="117" spans="1:8" s="3" customFormat="1">
      <c r="A117" s="126" t="s">
        <v>2949</v>
      </c>
      <c r="B117" s="127" t="s">
        <v>2953</v>
      </c>
      <c r="C117" s="79"/>
      <c r="D117" s="79"/>
      <c r="E117" s="79"/>
      <c r="F117" s="128">
        <f>'Planilha Orçamentária'!K726</f>
        <v>490.47</v>
      </c>
      <c r="G117" s="129">
        <f t="shared" si="2"/>
        <v>4.9382390927669755E-5</v>
      </c>
    </row>
    <row r="118" spans="1:8" s="3" customFormat="1">
      <c r="A118" s="523"/>
      <c r="B118" s="525"/>
      <c r="C118" s="526"/>
      <c r="D118" s="527"/>
      <c r="E118" s="527"/>
      <c r="F118" s="529"/>
      <c r="G118" s="582"/>
    </row>
    <row r="119" spans="1:8" s="3" customFormat="1">
      <c r="A119" s="64">
        <v>12</v>
      </c>
      <c r="B119" s="36" t="s">
        <v>2954</v>
      </c>
      <c r="C119" s="124" t="s">
        <v>34</v>
      </c>
      <c r="D119" s="124" t="s">
        <v>34</v>
      </c>
      <c r="E119" s="124"/>
      <c r="F119" s="125">
        <f>'Planilha Orçamentária'!K729</f>
        <v>23465.56</v>
      </c>
      <c r="G119" s="112">
        <f t="shared" si="2"/>
        <v>2.3626021107441644E-3</v>
      </c>
    </row>
    <row r="120" spans="1:8" s="3" customFormat="1">
      <c r="A120" s="523"/>
      <c r="B120" s="525"/>
      <c r="C120" s="526"/>
      <c r="D120" s="527"/>
      <c r="E120" s="527"/>
      <c r="F120" s="529"/>
      <c r="G120" s="582"/>
    </row>
    <row r="121" spans="1:8" s="2" customFormat="1">
      <c r="A121" s="210"/>
      <c r="B121" s="211"/>
      <c r="C121" s="211"/>
      <c r="D121" s="211"/>
      <c r="E121" s="213" t="s">
        <v>119</v>
      </c>
      <c r="F121" s="125">
        <f>F18+F32+F56+F85+F87+F89+F91+F93+F95+F97+F104+F119</f>
        <v>9932082.8900000006</v>
      </c>
      <c r="G121" s="583">
        <f>G18+G32+G56+G85+G87+G89+G91+G93+G95+G97+G104+G119</f>
        <v>1</v>
      </c>
    </row>
    <row r="122" spans="1:8" s="2" customFormat="1" ht="14.25" customHeight="1">
      <c r="A122" s="168"/>
      <c r="B122" s="201"/>
      <c r="C122" s="201"/>
      <c r="D122" s="201"/>
      <c r="E122" s="214" t="s">
        <v>120</v>
      </c>
      <c r="F122" s="157">
        <v>12</v>
      </c>
      <c r="G122" s="158" t="s">
        <v>121</v>
      </c>
    </row>
    <row r="123" spans="1:8" s="2" customFormat="1" ht="4.5" customHeight="1">
      <c r="A123" s="689"/>
      <c r="B123" s="690"/>
      <c r="C123" s="690"/>
      <c r="D123" s="690"/>
      <c r="E123" s="690"/>
      <c r="F123" s="690"/>
      <c r="G123" s="691"/>
    </row>
    <row r="124" spans="1:8" ht="15" customHeight="1">
      <c r="A124" s="700" t="s">
        <v>3036</v>
      </c>
      <c r="B124" s="701"/>
      <c r="C124" s="701"/>
      <c r="D124" s="701"/>
      <c r="E124" s="701"/>
      <c r="F124" s="701"/>
      <c r="G124" s="702"/>
      <c r="H124" s="681"/>
    </row>
    <row r="125" spans="1:8">
      <c r="A125" s="703"/>
      <c r="B125" s="704"/>
      <c r="C125" s="704"/>
      <c r="D125" s="704"/>
      <c r="E125" s="704"/>
      <c r="F125" s="704"/>
      <c r="G125" s="705"/>
      <c r="H125" s="681"/>
    </row>
    <row r="126" spans="1:8" ht="60" customHeight="1">
      <c r="A126" s="706"/>
      <c r="B126" s="707"/>
      <c r="C126" s="707"/>
      <c r="D126" s="707"/>
      <c r="E126" s="707"/>
      <c r="F126" s="707"/>
      <c r="G126" s="708"/>
      <c r="H126" s="681"/>
    </row>
  </sheetData>
  <mergeCells count="27">
    <mergeCell ref="A124:G126"/>
    <mergeCell ref="C10:D10"/>
    <mergeCell ref="C11:D11"/>
    <mergeCell ref="C13:D13"/>
    <mergeCell ref="E13:G13"/>
    <mergeCell ref="C12:D12"/>
    <mergeCell ref="E12:G12"/>
    <mergeCell ref="E10:G10"/>
    <mergeCell ref="E11:G11"/>
    <mergeCell ref="C14:D14"/>
    <mergeCell ref="A16:A17"/>
    <mergeCell ref="B16:E17"/>
    <mergeCell ref="A123:G123"/>
    <mergeCell ref="G16:G17"/>
    <mergeCell ref="F16:F17"/>
    <mergeCell ref="B18:E18"/>
    <mergeCell ref="A1:G1"/>
    <mergeCell ref="A6:G6"/>
    <mergeCell ref="A7:G7"/>
    <mergeCell ref="A8:G8"/>
    <mergeCell ref="A9:G9"/>
    <mergeCell ref="C4:C5"/>
    <mergeCell ref="B32:E32"/>
    <mergeCell ref="B56:E56"/>
    <mergeCell ref="B110:C110"/>
    <mergeCell ref="E14:G14"/>
    <mergeCell ref="A15:G15"/>
  </mergeCells>
  <phoneticPr fontId="19" type="noConversion"/>
  <printOptions horizontalCentered="1"/>
  <pageMargins left="0.47244094488188981" right="0.47244094488188981" top="0.98425196850393704" bottom="0.98425196850393704" header="0.31496062992125984" footer="0.31496062992125984"/>
  <pageSetup paperSize="9" scale="61" fitToHeight="0" orientation="portrait" r:id="rId1"/>
  <headerFooter>
    <oddFooter>&amp;R&amp;P/&amp;N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38"/>
  <sheetViews>
    <sheetView showGridLines="0" topLeftCell="A6" zoomScale="69" zoomScaleNormal="100" zoomScaleSheetLayoutView="100" workbookViewId="0">
      <selection activeCell="F14" sqref="F14"/>
    </sheetView>
  </sheetViews>
  <sheetFormatPr defaultColWidth="9.140625" defaultRowHeight="15"/>
  <cols>
    <col min="1" max="1" width="15.28515625" customWidth="1"/>
    <col min="2" max="2" width="12.85546875" customWidth="1"/>
    <col min="3" max="3" width="28.5703125" customWidth="1"/>
    <col min="4" max="4" width="25.7109375" customWidth="1"/>
    <col min="5" max="5" width="14.28515625" customWidth="1"/>
    <col min="6" max="6" width="27.7109375" customWidth="1"/>
    <col min="7" max="7" width="21.5703125" style="16" customWidth="1"/>
    <col min="9" max="9" width="21.7109375" customWidth="1"/>
  </cols>
  <sheetData>
    <row r="1" spans="1:7" ht="4.5" customHeight="1">
      <c r="A1" s="49"/>
      <c r="B1" s="50"/>
      <c r="C1" s="50"/>
      <c r="D1" s="50"/>
      <c r="E1" s="153"/>
      <c r="F1" s="153"/>
      <c r="G1" s="154"/>
    </row>
    <row r="2" spans="1:7" ht="29.25" customHeight="1">
      <c r="A2" s="133" t="s">
        <v>0</v>
      </c>
      <c r="B2" s="770" t="s">
        <v>1</v>
      </c>
      <c r="C2" s="771"/>
      <c r="D2" s="771"/>
      <c r="E2" s="147"/>
      <c r="F2" s="148"/>
      <c r="G2" s="149"/>
    </row>
    <row r="3" spans="1:7" ht="29.25" customHeight="1">
      <c r="A3" s="133" t="s">
        <v>5</v>
      </c>
      <c r="B3" s="770" t="s">
        <v>6</v>
      </c>
      <c r="C3" s="771"/>
      <c r="D3" s="772"/>
      <c r="E3" s="276"/>
      <c r="F3" s="3"/>
      <c r="G3" s="287"/>
    </row>
    <row r="4" spans="1:7" ht="29.25" customHeight="1">
      <c r="A4" s="133" t="s">
        <v>9</v>
      </c>
      <c r="B4" s="770" t="s">
        <v>10</v>
      </c>
      <c r="C4" s="771"/>
      <c r="D4" s="772"/>
      <c r="E4" s="276"/>
      <c r="F4" s="2"/>
      <c r="G4" s="24"/>
    </row>
    <row r="5" spans="1:7" ht="29.25" customHeight="1">
      <c r="A5" s="133" t="s">
        <v>14</v>
      </c>
      <c r="B5" s="773" t="s">
        <v>15</v>
      </c>
      <c r="C5" s="774"/>
      <c r="D5" s="775"/>
      <c r="E5" s="221"/>
      <c r="F5" s="26"/>
      <c r="G5" s="27"/>
    </row>
    <row r="6" spans="1:7" ht="4.5" customHeight="1">
      <c r="A6" s="49"/>
      <c r="B6" s="50"/>
      <c r="C6" s="50"/>
      <c r="D6" s="50"/>
      <c r="E6" s="123"/>
      <c r="F6" s="123"/>
      <c r="G6" s="155"/>
    </row>
    <row r="7" spans="1:7" ht="33" customHeight="1">
      <c r="A7" s="888" t="s">
        <v>2416</v>
      </c>
      <c r="B7" s="889"/>
      <c r="C7" s="889"/>
      <c r="D7" s="889"/>
      <c r="E7" s="889"/>
      <c r="F7" s="889"/>
      <c r="G7" s="890"/>
    </row>
    <row r="8" spans="1:7" ht="4.5" customHeight="1">
      <c r="A8" s="49"/>
      <c r="B8" s="50"/>
      <c r="C8" s="50"/>
      <c r="D8" s="50"/>
      <c r="E8" s="50"/>
      <c r="F8" s="50"/>
      <c r="G8" s="51"/>
    </row>
    <row r="9" spans="1:7" ht="19.5" customHeight="1">
      <c r="A9" s="844" t="s">
        <v>17</v>
      </c>
      <c r="B9" s="844"/>
      <c r="C9" s="844"/>
      <c r="D9" s="844"/>
      <c r="E9" s="844"/>
      <c r="F9" s="844"/>
      <c r="G9" s="844"/>
    </row>
    <row r="10" spans="1:7" ht="19.5" customHeight="1">
      <c r="A10" s="134" t="s">
        <v>18</v>
      </c>
      <c r="B10" s="715" t="s">
        <v>19</v>
      </c>
      <c r="C10" s="716"/>
      <c r="D10" s="717"/>
      <c r="E10" s="134" t="s">
        <v>20</v>
      </c>
      <c r="F10" s="715" t="s">
        <v>21</v>
      </c>
      <c r="G10" s="717"/>
    </row>
    <row r="11" spans="1:7" ht="19.5" customHeight="1">
      <c r="A11" s="28" t="s">
        <v>125</v>
      </c>
      <c r="B11" s="712" t="s">
        <v>23</v>
      </c>
      <c r="C11" s="713"/>
      <c r="D11" s="714"/>
      <c r="E11" s="119">
        <v>45427</v>
      </c>
      <c r="F11" s="712" t="s">
        <v>24</v>
      </c>
      <c r="G11" s="714"/>
    </row>
    <row r="12" spans="1:7" ht="19.5" customHeight="1">
      <c r="A12" s="28" t="str">
        <f>'Planilha Resumo'!A12</f>
        <v>R8</v>
      </c>
      <c r="B12" s="712" t="str">
        <f>'Planilha Resumo'!B12</f>
        <v>Atendendo à Comentários</v>
      </c>
      <c r="C12" s="713"/>
      <c r="D12" s="714"/>
      <c r="E12" s="119">
        <f>'Planilha Resumo'!C12</f>
        <v>45496</v>
      </c>
      <c r="F12" s="712" t="str">
        <f>'Planilha Resumo'!E12</f>
        <v>Grazielle Cruz/ Marcelo F. Pereira</v>
      </c>
      <c r="G12" s="714"/>
    </row>
    <row r="13" spans="1:7" ht="19.5" customHeight="1">
      <c r="A13" s="28" t="str">
        <f>'Planilha Resumo'!A14</f>
        <v>R12</v>
      </c>
      <c r="B13" s="712" t="str">
        <f>'Planilha Resumo'!B14</f>
        <v>Correção de itens com BDI diferenciado</v>
      </c>
      <c r="C13" s="713"/>
      <c r="D13" s="714"/>
      <c r="E13" s="119">
        <f>'Planilha Resumo'!C14</f>
        <v>45569</v>
      </c>
      <c r="F13" s="712" t="str">
        <f>'Planilha Resumo'!E14</f>
        <v>Tainá Verona</v>
      </c>
      <c r="G13" s="714"/>
    </row>
    <row r="14" spans="1:7" ht="4.5" customHeight="1">
      <c r="A14" s="49"/>
      <c r="B14" s="50"/>
      <c r="C14" s="50"/>
      <c r="D14" s="50"/>
      <c r="E14" s="50"/>
      <c r="F14" s="50"/>
      <c r="G14" s="51"/>
    </row>
    <row r="15" spans="1:7" ht="37.5" customHeight="1">
      <c r="A15" s="921" t="s">
        <v>2417</v>
      </c>
      <c r="B15" s="922"/>
      <c r="C15" s="922"/>
      <c r="D15" s="922"/>
      <c r="E15" s="922"/>
      <c r="F15" s="922"/>
      <c r="G15" s="923"/>
    </row>
    <row r="16" spans="1:7" ht="22.5" customHeight="1">
      <c r="A16" s="216"/>
      <c r="B16" s="217"/>
      <c r="C16" s="916" t="str">
        <f>'Planilha Orçamentária'!$I$2</f>
        <v>NÃO DESONERADO</v>
      </c>
      <c r="D16" s="916"/>
      <c r="E16" s="916"/>
      <c r="F16" s="217"/>
      <c r="G16" s="219"/>
    </row>
    <row r="17" spans="1:12">
      <c r="A17" s="121"/>
      <c r="B17" s="66"/>
      <c r="C17" s="66"/>
      <c r="D17" s="66"/>
      <c r="E17" s="66"/>
      <c r="F17" s="66"/>
      <c r="G17" s="67"/>
    </row>
    <row r="18" spans="1:12" ht="27.75" customHeight="1">
      <c r="A18" s="68" t="s">
        <v>27</v>
      </c>
      <c r="B18" s="924" t="s">
        <v>1281</v>
      </c>
      <c r="C18" s="925"/>
      <c r="D18" s="926"/>
      <c r="E18" s="68" t="s">
        <v>2418</v>
      </c>
      <c r="F18" s="68" t="s">
        <v>2419</v>
      </c>
      <c r="G18" s="69"/>
    </row>
    <row r="19" spans="1:12" ht="15.75" thickBot="1">
      <c r="A19" s="70">
        <v>1</v>
      </c>
      <c r="B19" s="891" t="s">
        <v>2420</v>
      </c>
      <c r="C19" s="892"/>
      <c r="D19" s="892"/>
      <c r="E19" s="892"/>
      <c r="F19" s="196"/>
      <c r="G19" s="71" t="s">
        <v>2421</v>
      </c>
    </row>
    <row r="20" spans="1:12">
      <c r="A20" s="72" t="s">
        <v>32</v>
      </c>
      <c r="B20" s="908" t="s">
        <v>2422</v>
      </c>
      <c r="C20" s="909"/>
      <c r="D20" s="909"/>
      <c r="E20" s="909"/>
      <c r="F20" s="197"/>
      <c r="G20" s="910" t="s">
        <v>2423</v>
      </c>
      <c r="I20" s="896" t="s">
        <v>2424</v>
      </c>
      <c r="J20" s="897"/>
      <c r="K20" s="897"/>
      <c r="L20" s="898"/>
    </row>
    <row r="21" spans="1:12" ht="15.75" customHeight="1" thickBot="1">
      <c r="A21" s="73" t="s">
        <v>35</v>
      </c>
      <c r="B21" s="905" t="s">
        <v>2425</v>
      </c>
      <c r="C21" s="906"/>
      <c r="D21" s="907"/>
      <c r="E21" s="73" t="s">
        <v>2426</v>
      </c>
      <c r="F21" s="74">
        <v>0.04</v>
      </c>
      <c r="G21" s="911"/>
      <c r="I21" s="899"/>
      <c r="J21" s="900"/>
      <c r="K21" s="900"/>
      <c r="L21" s="901"/>
    </row>
    <row r="22" spans="1:12" ht="15" customHeight="1">
      <c r="A22" s="72" t="s">
        <v>39</v>
      </c>
      <c r="B22" s="908" t="s">
        <v>2427</v>
      </c>
      <c r="C22" s="909"/>
      <c r="D22" s="909"/>
      <c r="E22" s="909"/>
      <c r="F22" s="197"/>
      <c r="G22" s="911"/>
      <c r="I22" s="902" t="s">
        <v>2428</v>
      </c>
      <c r="J22" s="903"/>
      <c r="K22" s="903"/>
      <c r="L22" s="904"/>
    </row>
    <row r="23" spans="1:12" ht="15" customHeight="1">
      <c r="A23" s="73" t="s">
        <v>41</v>
      </c>
      <c r="B23" s="905" t="s">
        <v>2429</v>
      </c>
      <c r="C23" s="906"/>
      <c r="D23" s="907"/>
      <c r="E23" s="73" t="s">
        <v>2426</v>
      </c>
      <c r="F23" s="74">
        <v>8.0000000000000002E-3</v>
      </c>
      <c r="G23" s="911"/>
      <c r="I23" s="170"/>
      <c r="J23" s="171" t="s">
        <v>2430</v>
      </c>
      <c r="K23" s="171" t="s">
        <v>2431</v>
      </c>
      <c r="L23" s="172" t="s">
        <v>2432</v>
      </c>
    </row>
    <row r="24" spans="1:12">
      <c r="A24" s="73" t="s">
        <v>1300</v>
      </c>
      <c r="B24" s="905" t="s">
        <v>2433</v>
      </c>
      <c r="C24" s="906"/>
      <c r="D24" s="907"/>
      <c r="E24" s="73" t="s">
        <v>2426</v>
      </c>
      <c r="F24" s="74">
        <v>1.2699999999999999E-2</v>
      </c>
      <c r="G24" s="911"/>
      <c r="I24" s="173" t="s">
        <v>2434</v>
      </c>
      <c r="J24" s="174">
        <v>0.03</v>
      </c>
      <c r="K24" s="174">
        <v>0.04</v>
      </c>
      <c r="L24" s="175">
        <v>5.5E-2</v>
      </c>
    </row>
    <row r="25" spans="1:12" ht="15" customHeight="1">
      <c r="A25" s="72" t="s">
        <v>43</v>
      </c>
      <c r="B25" s="908" t="s">
        <v>2435</v>
      </c>
      <c r="C25" s="909"/>
      <c r="D25" s="909"/>
      <c r="E25" s="909"/>
      <c r="F25" s="197"/>
      <c r="G25" s="911"/>
      <c r="I25" s="173" t="s">
        <v>2436</v>
      </c>
      <c r="J25" s="174">
        <v>8.0000000000000002E-3</v>
      </c>
      <c r="K25" s="174">
        <v>8.0000000000000002E-3</v>
      </c>
      <c r="L25" s="175">
        <v>0.01</v>
      </c>
    </row>
    <row r="26" spans="1:12" ht="15" customHeight="1">
      <c r="A26" s="73" t="s">
        <v>45</v>
      </c>
      <c r="B26" s="905" t="s">
        <v>2437</v>
      </c>
      <c r="C26" s="906"/>
      <c r="D26" s="907"/>
      <c r="E26" s="73" t="s">
        <v>2426</v>
      </c>
      <c r="F26" s="74">
        <v>1.23E-2</v>
      </c>
      <c r="G26" s="911"/>
      <c r="I26" s="173" t="s">
        <v>2438</v>
      </c>
      <c r="J26" s="174">
        <v>9.7000000000000003E-3</v>
      </c>
      <c r="K26" s="174">
        <v>1.2699999999999999E-2</v>
      </c>
      <c r="L26" s="175">
        <v>1.2699999999999999E-2</v>
      </c>
    </row>
    <row r="27" spans="1:12">
      <c r="A27" s="72" t="s">
        <v>47</v>
      </c>
      <c r="B27" s="908" t="s">
        <v>2439</v>
      </c>
      <c r="C27" s="909"/>
      <c r="D27" s="909"/>
      <c r="E27" s="909"/>
      <c r="F27" s="197"/>
      <c r="G27" s="911"/>
      <c r="I27" s="173" t="s">
        <v>2440</v>
      </c>
      <c r="J27" s="174">
        <v>5.8999999999999999E-3</v>
      </c>
      <c r="K27" s="174">
        <v>1.23E-2</v>
      </c>
      <c r="L27" s="175">
        <v>1.3899999999999999E-2</v>
      </c>
    </row>
    <row r="28" spans="1:12" ht="15.75" thickBot="1">
      <c r="A28" s="73" t="s">
        <v>49</v>
      </c>
      <c r="B28" s="905" t="s">
        <v>2441</v>
      </c>
      <c r="C28" s="906"/>
      <c r="D28" s="907"/>
      <c r="E28" s="73" t="s">
        <v>2426</v>
      </c>
      <c r="F28" s="74">
        <v>3.5000000000000003E-2</v>
      </c>
      <c r="G28" s="911"/>
      <c r="I28" s="176" t="s">
        <v>2442</v>
      </c>
      <c r="J28" s="177">
        <v>6.1600000000000002E-2</v>
      </c>
      <c r="K28" s="177">
        <v>7.3999999999999996E-2</v>
      </c>
      <c r="L28" s="178">
        <v>8.9599999999999999E-2</v>
      </c>
    </row>
    <row r="29" spans="1:12">
      <c r="A29" s="73" t="s">
        <v>2443</v>
      </c>
      <c r="B29" s="905" t="s">
        <v>2444</v>
      </c>
      <c r="C29" s="906"/>
      <c r="D29" s="907"/>
      <c r="E29" s="73" t="s">
        <v>2426</v>
      </c>
      <c r="F29" s="74">
        <v>0.03</v>
      </c>
      <c r="G29" s="911"/>
    </row>
    <row r="30" spans="1:12">
      <c r="A30" s="73" t="s">
        <v>2445</v>
      </c>
      <c r="B30" s="905" t="s">
        <v>2446</v>
      </c>
      <c r="C30" s="906"/>
      <c r="D30" s="907"/>
      <c r="E30" s="73" t="s">
        <v>2426</v>
      </c>
      <c r="F30" s="74">
        <v>6.4999999999999997E-3</v>
      </c>
      <c r="G30" s="911"/>
      <c r="I30" s="232" t="s">
        <v>123</v>
      </c>
      <c r="J30" s="233" t="s">
        <v>2447</v>
      </c>
      <c r="K30" s="234">
        <v>0</v>
      </c>
    </row>
    <row r="31" spans="1:12">
      <c r="A31" s="73" t="s">
        <v>2448</v>
      </c>
      <c r="B31" s="913" t="s">
        <v>2447</v>
      </c>
      <c r="C31" s="914"/>
      <c r="D31" s="915"/>
      <c r="E31" s="235" t="s">
        <v>2426</v>
      </c>
      <c r="F31" s="236">
        <f>IF(C16=I30,K30,K31)</f>
        <v>0</v>
      </c>
      <c r="G31" s="911"/>
      <c r="I31" s="232" t="s">
        <v>2449</v>
      </c>
      <c r="J31" s="233" t="s">
        <v>2447</v>
      </c>
      <c r="K31" s="234">
        <v>4.4999999999999998E-2</v>
      </c>
    </row>
    <row r="32" spans="1:12">
      <c r="A32" s="70">
        <v>2</v>
      </c>
      <c r="B32" s="891" t="s">
        <v>2450</v>
      </c>
      <c r="C32" s="892"/>
      <c r="D32" s="892"/>
      <c r="E32" s="892"/>
      <c r="F32" s="196"/>
      <c r="G32" s="911"/>
    </row>
    <row r="33" spans="1:8">
      <c r="A33" s="72" t="s">
        <v>52</v>
      </c>
      <c r="B33" s="908" t="s">
        <v>2451</v>
      </c>
      <c r="C33" s="909"/>
      <c r="D33" s="909"/>
      <c r="E33" s="909"/>
      <c r="F33" s="197"/>
      <c r="G33" s="911"/>
    </row>
    <row r="34" spans="1:8" ht="15.75" thickBot="1">
      <c r="A34" s="73" t="s">
        <v>54</v>
      </c>
      <c r="B34" s="905" t="s">
        <v>2442</v>
      </c>
      <c r="C34" s="906"/>
      <c r="D34" s="116"/>
      <c r="E34" s="73" t="s">
        <v>2426</v>
      </c>
      <c r="F34" s="122">
        <v>7.3999999999999996E-2</v>
      </c>
      <c r="G34" s="912"/>
    </row>
    <row r="35" spans="1:8" ht="17.25" customHeight="1">
      <c r="B35" s="919" t="s">
        <v>2452</v>
      </c>
      <c r="C35" s="895" t="s">
        <v>2453</v>
      </c>
      <c r="D35" s="895"/>
      <c r="E35" s="188"/>
      <c r="F35" s="917">
        <f>(((1+F21+F23+F24)*(1+F26)*(1+F34))/(1-((F28+F29+F30+F31))))-1</f>
        <v>0.24200738733441041</v>
      </c>
      <c r="G35" s="893"/>
    </row>
    <row r="36" spans="1:8" ht="17.25" customHeight="1" thickBot="1">
      <c r="B36" s="920"/>
      <c r="C36" s="895" t="s">
        <v>2454</v>
      </c>
      <c r="D36" s="895"/>
      <c r="E36" s="189"/>
      <c r="F36" s="918"/>
      <c r="G36" s="894"/>
      <c r="H36" s="75"/>
    </row>
    <row r="37" spans="1:8">
      <c r="A37" s="76"/>
      <c r="B37" s="77"/>
      <c r="C37" s="78"/>
      <c r="D37" s="78"/>
      <c r="E37" s="78"/>
      <c r="F37" s="78"/>
      <c r="G37" s="76"/>
    </row>
    <row r="38" spans="1:8" s="143" customFormat="1" ht="30" customHeight="1">
      <c r="A38" s="887"/>
      <c r="B38" s="887"/>
      <c r="C38" s="887"/>
      <c r="D38" s="887"/>
      <c r="E38" s="887"/>
      <c r="F38" s="887"/>
      <c r="G38" s="887"/>
    </row>
  </sheetData>
  <mergeCells count="42">
    <mergeCell ref="B12:D12"/>
    <mergeCell ref="F12:G12"/>
    <mergeCell ref="C16:E16"/>
    <mergeCell ref="F35:F36"/>
    <mergeCell ref="B35:B36"/>
    <mergeCell ref="B29:D29"/>
    <mergeCell ref="B30:D30"/>
    <mergeCell ref="A15:G15"/>
    <mergeCell ref="B18:D18"/>
    <mergeCell ref="C35:D35"/>
    <mergeCell ref="I20:L21"/>
    <mergeCell ref="I22:L22"/>
    <mergeCell ref="B21:D21"/>
    <mergeCell ref="B23:D23"/>
    <mergeCell ref="B24:D24"/>
    <mergeCell ref="B20:E20"/>
    <mergeCell ref="G20:G34"/>
    <mergeCell ref="B32:E32"/>
    <mergeCell ref="B34:C34"/>
    <mergeCell ref="B22:E22"/>
    <mergeCell ref="B27:E27"/>
    <mergeCell ref="B33:E33"/>
    <mergeCell ref="B31:D31"/>
    <mergeCell ref="B26:D26"/>
    <mergeCell ref="B25:E25"/>
    <mergeCell ref="B28:D28"/>
    <mergeCell ref="A38:G38"/>
    <mergeCell ref="B2:D2"/>
    <mergeCell ref="B3:D3"/>
    <mergeCell ref="B4:D4"/>
    <mergeCell ref="B11:D11"/>
    <mergeCell ref="A7:G7"/>
    <mergeCell ref="A9:G9"/>
    <mergeCell ref="B5:D5"/>
    <mergeCell ref="F10:G10"/>
    <mergeCell ref="B10:D10"/>
    <mergeCell ref="B19:E19"/>
    <mergeCell ref="B13:D13"/>
    <mergeCell ref="F13:G13"/>
    <mergeCell ref="G35:G36"/>
    <mergeCell ref="F11:G11"/>
    <mergeCell ref="C36:D36"/>
  </mergeCells>
  <phoneticPr fontId="19" type="noConversion"/>
  <printOptions horizontalCentered="1"/>
  <pageMargins left="0.47244094488188981" right="0.47244094488188981" top="0.78740157480314965" bottom="0.78740157480314965" header="0.31496062992125984" footer="0.31496062992125984"/>
  <pageSetup paperSize="9" scale="73" orientation="portrait" r:id="rId1"/>
  <headerFooter>
    <oddFooter>&amp;R&amp;P/&amp;N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36"/>
  <sheetViews>
    <sheetView showGridLines="0" topLeftCell="A7" zoomScale="70" zoomScaleNormal="70" zoomScaleSheetLayoutView="100" workbookViewId="0">
      <selection activeCell="F14" sqref="F14"/>
    </sheetView>
  </sheetViews>
  <sheetFormatPr defaultColWidth="9.140625" defaultRowHeight="15"/>
  <cols>
    <col min="1" max="1" width="15.28515625" customWidth="1"/>
    <col min="2" max="2" width="12.85546875" customWidth="1"/>
    <col min="3" max="3" width="28.5703125" customWidth="1"/>
    <col min="4" max="4" width="25.7109375" customWidth="1"/>
    <col min="5" max="5" width="13.7109375" customWidth="1"/>
    <col min="6" max="6" width="22.42578125" customWidth="1"/>
    <col min="7" max="7" width="21.5703125" style="16" customWidth="1"/>
    <col min="9" max="9" width="21.7109375" customWidth="1"/>
  </cols>
  <sheetData>
    <row r="1" spans="1:7" ht="4.5" customHeight="1">
      <c r="A1" s="49"/>
      <c r="B1" s="50"/>
      <c r="C1" s="50"/>
      <c r="D1" s="50"/>
      <c r="E1" s="153"/>
      <c r="F1" s="153"/>
      <c r="G1" s="154"/>
    </row>
    <row r="2" spans="1:7" ht="29.25" customHeight="1">
      <c r="A2" s="133" t="s">
        <v>0</v>
      </c>
      <c r="B2" s="770" t="s">
        <v>1</v>
      </c>
      <c r="C2" s="771"/>
      <c r="D2" s="771"/>
      <c r="E2" s="275"/>
      <c r="F2" s="148"/>
      <c r="G2" s="149"/>
    </row>
    <row r="3" spans="1:7" ht="29.25" customHeight="1">
      <c r="A3" s="133" t="s">
        <v>5</v>
      </c>
      <c r="B3" s="770" t="s">
        <v>6</v>
      </c>
      <c r="C3" s="771"/>
      <c r="D3" s="771"/>
      <c r="E3" s="23"/>
      <c r="F3" s="3"/>
      <c r="G3" s="287"/>
    </row>
    <row r="4" spans="1:7" ht="29.25" customHeight="1">
      <c r="A4" s="133" t="s">
        <v>9</v>
      </c>
      <c r="B4" s="770" t="s">
        <v>1</v>
      </c>
      <c r="C4" s="771"/>
      <c r="D4" s="771"/>
      <c r="E4" s="169"/>
      <c r="F4" s="2"/>
      <c r="G4" s="24"/>
    </row>
    <row r="5" spans="1:7" ht="29.25" customHeight="1">
      <c r="A5" s="133" t="s">
        <v>14</v>
      </c>
      <c r="B5" s="773" t="s">
        <v>15</v>
      </c>
      <c r="C5" s="774"/>
      <c r="D5" s="774"/>
      <c r="E5" s="221"/>
      <c r="F5" s="26"/>
      <c r="G5" s="27"/>
    </row>
    <row r="6" spans="1:7" ht="4.5" customHeight="1">
      <c r="A6" s="49"/>
      <c r="B6" s="50"/>
      <c r="C6" s="50"/>
      <c r="D6" s="50"/>
      <c r="E6" s="123"/>
      <c r="F6" s="123"/>
      <c r="G6" s="155"/>
    </row>
    <row r="7" spans="1:7" ht="33" customHeight="1">
      <c r="A7" s="888" t="s">
        <v>2455</v>
      </c>
      <c r="B7" s="889"/>
      <c r="C7" s="889"/>
      <c r="D7" s="889"/>
      <c r="E7" s="889"/>
      <c r="F7" s="889"/>
      <c r="G7" s="890"/>
    </row>
    <row r="8" spans="1:7" ht="4.5" customHeight="1">
      <c r="A8" s="49"/>
      <c r="B8" s="50"/>
      <c r="C8" s="50"/>
      <c r="D8" s="50"/>
      <c r="E8" s="50"/>
      <c r="F8" s="50"/>
      <c r="G8" s="51"/>
    </row>
    <row r="9" spans="1:7" ht="19.5" customHeight="1">
      <c r="A9" s="844" t="s">
        <v>17</v>
      </c>
      <c r="B9" s="844"/>
      <c r="C9" s="844"/>
      <c r="D9" s="844"/>
      <c r="E9" s="844"/>
      <c r="F9" s="844"/>
      <c r="G9" s="844"/>
    </row>
    <row r="10" spans="1:7" ht="19.5" customHeight="1">
      <c r="A10" s="134" t="s">
        <v>18</v>
      </c>
      <c r="B10" s="715" t="s">
        <v>19</v>
      </c>
      <c r="C10" s="716"/>
      <c r="D10" s="717"/>
      <c r="E10" s="134" t="s">
        <v>20</v>
      </c>
      <c r="F10" s="715" t="s">
        <v>21</v>
      </c>
      <c r="G10" s="717"/>
    </row>
    <row r="11" spans="1:7" ht="19.5" customHeight="1">
      <c r="A11" s="28" t="s">
        <v>125</v>
      </c>
      <c r="B11" s="712" t="s">
        <v>23</v>
      </c>
      <c r="C11" s="713"/>
      <c r="D11" s="714"/>
      <c r="E11" s="119">
        <v>45427</v>
      </c>
      <c r="F11" s="712" t="s">
        <v>24</v>
      </c>
      <c r="G11" s="714"/>
    </row>
    <row r="12" spans="1:7" ht="19.5" customHeight="1">
      <c r="A12" s="28" t="str">
        <f>'Planilha Resumo'!A12</f>
        <v>R8</v>
      </c>
      <c r="B12" s="712" t="str">
        <f>'Planilha Resumo'!B12</f>
        <v>Atendendo à Comentários</v>
      </c>
      <c r="C12" s="713"/>
      <c r="D12" s="714"/>
      <c r="E12" s="119">
        <f>'Planilha Resumo'!C12</f>
        <v>45496</v>
      </c>
      <c r="F12" s="712" t="str">
        <f>'Planilha Resumo'!E12</f>
        <v>Grazielle Cruz/ Marcelo F. Pereira</v>
      </c>
      <c r="G12" s="714"/>
    </row>
    <row r="13" spans="1:7" ht="19.5" customHeight="1">
      <c r="A13" s="28" t="str">
        <f>'Planilha Resumo'!A14</f>
        <v>R12</v>
      </c>
      <c r="B13" s="712" t="str">
        <f>'Planilha Resumo'!B14</f>
        <v>Correção de itens com BDI diferenciado</v>
      </c>
      <c r="C13" s="713"/>
      <c r="D13" s="714"/>
      <c r="E13" s="119">
        <f>'Planilha Resumo'!C14</f>
        <v>45569</v>
      </c>
      <c r="F13" s="712" t="str">
        <f>'Planilha Resumo'!E14</f>
        <v>Tainá Verona</v>
      </c>
      <c r="G13" s="714"/>
    </row>
    <row r="14" spans="1:7" ht="4.5" customHeight="1">
      <c r="A14" s="49"/>
      <c r="B14" s="50"/>
      <c r="C14" s="50"/>
      <c r="D14" s="50"/>
      <c r="E14" s="50"/>
      <c r="F14" s="50"/>
      <c r="G14" s="51"/>
    </row>
    <row r="15" spans="1:7" ht="37.5" customHeight="1">
      <c r="A15" s="921" t="s">
        <v>2456</v>
      </c>
      <c r="B15" s="922"/>
      <c r="C15" s="922"/>
      <c r="D15" s="922"/>
      <c r="E15" s="922"/>
      <c r="F15" s="922"/>
      <c r="G15" s="923"/>
    </row>
    <row r="16" spans="1:7" ht="22.5" customHeight="1">
      <c r="A16" s="216"/>
      <c r="B16" s="217"/>
      <c r="C16" s="217"/>
      <c r="D16" s="218" t="str">
        <f>'Planilha Orçamentária'!$I$2</f>
        <v>NÃO DESONERADO</v>
      </c>
      <c r="E16" s="217"/>
      <c r="F16" s="217"/>
      <c r="G16" s="219"/>
    </row>
    <row r="17" spans="1:12">
      <c r="A17" s="121"/>
      <c r="B17" s="66"/>
      <c r="C17" s="66"/>
      <c r="D17" s="66"/>
      <c r="E17" s="66"/>
      <c r="F17" s="66"/>
      <c r="G17" s="67"/>
    </row>
    <row r="18" spans="1:12" ht="27.75" customHeight="1">
      <c r="A18" s="628" t="s">
        <v>27</v>
      </c>
      <c r="B18" s="927" t="s">
        <v>1281</v>
      </c>
      <c r="C18" s="928"/>
      <c r="D18" s="929"/>
      <c r="E18" s="628" t="s">
        <v>2418</v>
      </c>
      <c r="F18" s="628" t="s">
        <v>2419</v>
      </c>
      <c r="G18" s="69"/>
    </row>
    <row r="19" spans="1:12" ht="15" customHeight="1" thickBot="1">
      <c r="A19" s="70">
        <v>1</v>
      </c>
      <c r="B19" s="935" t="s">
        <v>2420</v>
      </c>
      <c r="C19" s="936"/>
      <c r="D19" s="936"/>
      <c r="E19" s="936"/>
      <c r="F19" s="656"/>
      <c r="G19" s="71" t="s">
        <v>2421</v>
      </c>
    </row>
    <row r="20" spans="1:12" ht="15" customHeight="1">
      <c r="A20" s="629" t="s">
        <v>32</v>
      </c>
      <c r="B20" s="930" t="s">
        <v>2422</v>
      </c>
      <c r="C20" s="931"/>
      <c r="D20" s="931"/>
      <c r="E20" s="931"/>
      <c r="F20" s="657"/>
      <c r="G20" s="910" t="s">
        <v>2457</v>
      </c>
      <c r="I20" s="896" t="s">
        <v>2424</v>
      </c>
      <c r="J20" s="897"/>
      <c r="K20" s="897"/>
      <c r="L20" s="898"/>
    </row>
    <row r="21" spans="1:12" ht="15" customHeight="1" thickBot="1">
      <c r="A21" s="630" t="s">
        <v>35</v>
      </c>
      <c r="B21" s="932" t="s">
        <v>2425</v>
      </c>
      <c r="C21" s="933"/>
      <c r="D21" s="934"/>
      <c r="E21" s="630" t="s">
        <v>2426</v>
      </c>
      <c r="F21" s="631">
        <v>3.4500000000000003E-2</v>
      </c>
      <c r="G21" s="911"/>
      <c r="I21" s="899"/>
      <c r="J21" s="900"/>
      <c r="K21" s="900"/>
      <c r="L21" s="901"/>
    </row>
    <row r="22" spans="1:12" ht="15" customHeight="1">
      <c r="A22" s="629" t="s">
        <v>39</v>
      </c>
      <c r="B22" s="930" t="s">
        <v>2427</v>
      </c>
      <c r="C22" s="931"/>
      <c r="D22" s="931"/>
      <c r="E22" s="931"/>
      <c r="F22" s="657"/>
      <c r="G22" s="911"/>
      <c r="I22" s="902" t="s">
        <v>2458</v>
      </c>
      <c r="J22" s="903"/>
      <c r="K22" s="903"/>
      <c r="L22" s="904"/>
    </row>
    <row r="23" spans="1:12" ht="15" customHeight="1">
      <c r="A23" s="630" t="s">
        <v>41</v>
      </c>
      <c r="B23" s="932" t="s">
        <v>2429</v>
      </c>
      <c r="C23" s="933"/>
      <c r="D23" s="934"/>
      <c r="E23" s="630" t="s">
        <v>2426</v>
      </c>
      <c r="F23" s="631">
        <v>4.7999999999999996E-3</v>
      </c>
      <c r="G23" s="911"/>
      <c r="I23" s="170"/>
      <c r="J23" s="171" t="s">
        <v>2430</v>
      </c>
      <c r="K23" s="171" t="s">
        <v>2431</v>
      </c>
      <c r="L23" s="172" t="s">
        <v>2432</v>
      </c>
    </row>
    <row r="24" spans="1:12">
      <c r="A24" s="630" t="s">
        <v>1300</v>
      </c>
      <c r="B24" s="932" t="s">
        <v>2433</v>
      </c>
      <c r="C24" s="933"/>
      <c r="D24" s="934"/>
      <c r="E24" s="630" t="s">
        <v>2426</v>
      </c>
      <c r="F24" s="631">
        <v>8.5000000000000006E-3</v>
      </c>
      <c r="G24" s="911"/>
      <c r="I24" s="173" t="s">
        <v>2434</v>
      </c>
      <c r="J24" s="174">
        <v>1.4999999999999999E-2</v>
      </c>
      <c r="K24" s="174">
        <v>3.4500000000000003E-2</v>
      </c>
      <c r="L24" s="175">
        <v>4.4900000000000002E-2</v>
      </c>
    </row>
    <row r="25" spans="1:12" ht="15" customHeight="1">
      <c r="A25" s="629" t="s">
        <v>43</v>
      </c>
      <c r="B25" s="930" t="s">
        <v>2435</v>
      </c>
      <c r="C25" s="931"/>
      <c r="D25" s="931"/>
      <c r="E25" s="931"/>
      <c r="F25" s="657"/>
      <c r="G25" s="911"/>
      <c r="I25" s="173" t="s">
        <v>2436</v>
      </c>
      <c r="J25" s="174">
        <v>3.0000000000000001E-3</v>
      </c>
      <c r="K25" s="174">
        <v>4.7999999999999996E-3</v>
      </c>
      <c r="L25" s="175">
        <v>8.2000000000000007E-3</v>
      </c>
    </row>
    <row r="26" spans="1:12" ht="15" customHeight="1">
      <c r="A26" s="630" t="s">
        <v>45</v>
      </c>
      <c r="B26" s="932" t="s">
        <v>2437</v>
      </c>
      <c r="C26" s="933"/>
      <c r="D26" s="934"/>
      <c r="E26" s="630" t="s">
        <v>2426</v>
      </c>
      <c r="F26" s="631">
        <v>8.5000000000000006E-3</v>
      </c>
      <c r="G26" s="911"/>
      <c r="I26" s="173" t="s">
        <v>2438</v>
      </c>
      <c r="J26" s="174">
        <v>5.5999999999999999E-3</v>
      </c>
      <c r="K26" s="174">
        <v>8.5000000000000006E-3</v>
      </c>
      <c r="L26" s="175">
        <v>8.8999999999999999E-3</v>
      </c>
    </row>
    <row r="27" spans="1:12">
      <c r="A27" s="629" t="s">
        <v>47</v>
      </c>
      <c r="B27" s="930" t="s">
        <v>2439</v>
      </c>
      <c r="C27" s="931"/>
      <c r="D27" s="931"/>
      <c r="E27" s="931"/>
      <c r="F27" s="657"/>
      <c r="G27" s="911"/>
      <c r="I27" s="173" t="s">
        <v>2440</v>
      </c>
      <c r="J27" s="174">
        <v>8.5000000000000006E-3</v>
      </c>
      <c r="K27" s="174">
        <v>8.5000000000000006E-3</v>
      </c>
      <c r="L27" s="175">
        <v>1.11E-2</v>
      </c>
    </row>
    <row r="28" spans="1:12" ht="15.75" thickBot="1">
      <c r="A28" s="630" t="s">
        <v>49</v>
      </c>
      <c r="B28" s="932" t="s">
        <v>2441</v>
      </c>
      <c r="C28" s="933"/>
      <c r="D28" s="934"/>
      <c r="E28" s="630" t="s">
        <v>2426</v>
      </c>
      <c r="F28" s="631">
        <f>5%*0.7</f>
        <v>3.4999999999999996E-2</v>
      </c>
      <c r="G28" s="911"/>
      <c r="I28" s="176" t="s">
        <v>2442</v>
      </c>
      <c r="J28" s="177">
        <v>3.5000000000000003E-2</v>
      </c>
      <c r="K28" s="177">
        <v>5.11E-2</v>
      </c>
      <c r="L28" s="178">
        <v>6.2199999999999998E-2</v>
      </c>
    </row>
    <row r="29" spans="1:12">
      <c r="A29" s="630" t="s">
        <v>2443</v>
      </c>
      <c r="B29" s="932" t="s">
        <v>2444</v>
      </c>
      <c r="C29" s="933"/>
      <c r="D29" s="934"/>
      <c r="E29" s="630" t="s">
        <v>2426</v>
      </c>
      <c r="F29" s="631">
        <v>0.03</v>
      </c>
      <c r="G29" s="911"/>
    </row>
    <row r="30" spans="1:12">
      <c r="A30" s="630" t="s">
        <v>2445</v>
      </c>
      <c r="B30" s="932" t="s">
        <v>2446</v>
      </c>
      <c r="C30" s="933"/>
      <c r="D30" s="934"/>
      <c r="E30" s="630" t="s">
        <v>2426</v>
      </c>
      <c r="F30" s="631">
        <v>6.4999999999999997E-3</v>
      </c>
      <c r="G30" s="911"/>
    </row>
    <row r="31" spans="1:12">
      <c r="A31" s="630" t="s">
        <v>2448</v>
      </c>
      <c r="B31" s="937" t="s">
        <v>2447</v>
      </c>
      <c r="C31" s="938"/>
      <c r="D31" s="939"/>
      <c r="E31" s="658" t="s">
        <v>2426</v>
      </c>
      <c r="F31" s="659">
        <f>IF(D16=I32,K32,K33)</f>
        <v>0</v>
      </c>
      <c r="G31" s="911"/>
      <c r="I31" s="232" t="s">
        <v>123</v>
      </c>
      <c r="J31" s="233" t="s">
        <v>2447</v>
      </c>
      <c r="K31" s="234">
        <v>0</v>
      </c>
    </row>
    <row r="32" spans="1:12">
      <c r="A32" s="70">
        <v>2</v>
      </c>
      <c r="B32" s="935" t="s">
        <v>2450</v>
      </c>
      <c r="C32" s="936"/>
      <c r="D32" s="936"/>
      <c r="E32" s="936"/>
      <c r="F32" s="656"/>
      <c r="G32" s="911"/>
      <c r="I32" s="232" t="s">
        <v>2449</v>
      </c>
      <c r="J32" s="233" t="s">
        <v>2447</v>
      </c>
      <c r="K32" s="234">
        <v>4.4999999999999998E-2</v>
      </c>
    </row>
    <row r="33" spans="1:8">
      <c r="A33" s="629" t="s">
        <v>52</v>
      </c>
      <c r="B33" s="930" t="s">
        <v>2451</v>
      </c>
      <c r="C33" s="931"/>
      <c r="D33" s="931"/>
      <c r="E33" s="931"/>
      <c r="F33" s="657"/>
      <c r="G33" s="912"/>
    </row>
    <row r="34" spans="1:8" ht="17.25" customHeight="1" thickBot="1">
      <c r="A34" s="630" t="s">
        <v>54</v>
      </c>
      <c r="B34" s="932" t="s">
        <v>2442</v>
      </c>
      <c r="C34" s="933"/>
      <c r="D34" s="934"/>
      <c r="E34" s="630" t="s">
        <v>2426</v>
      </c>
      <c r="F34" s="648">
        <v>5.11E-2</v>
      </c>
      <c r="G34" s="893"/>
    </row>
    <row r="35" spans="1:8" ht="17.25" customHeight="1">
      <c r="B35" s="941" t="s">
        <v>2452</v>
      </c>
      <c r="C35" s="940" t="s">
        <v>2453</v>
      </c>
      <c r="D35" s="940"/>
      <c r="E35" s="652"/>
      <c r="F35" s="917">
        <f>(((1+F21+F23+F24)*(1+F26)*(1+F34))/(1-((F28+F29+F30+F31))))-1</f>
        <v>0.19623477859989191</v>
      </c>
      <c r="G35" s="894"/>
      <c r="H35" s="75"/>
    </row>
    <row r="36" spans="1:8" ht="15.75" thickBot="1">
      <c r="B36" s="920"/>
      <c r="C36" s="940" t="s">
        <v>2454</v>
      </c>
      <c r="D36" s="940"/>
      <c r="E36" s="189"/>
      <c r="F36" s="918"/>
      <c r="G36" s="76"/>
    </row>
  </sheetData>
  <mergeCells count="40">
    <mergeCell ref="G34:G35"/>
    <mergeCell ref="B19:E19"/>
    <mergeCell ref="B20:E20"/>
    <mergeCell ref="B23:D23"/>
    <mergeCell ref="B26:D26"/>
    <mergeCell ref="B24:D24"/>
    <mergeCell ref="B29:D29"/>
    <mergeCell ref="B28:D28"/>
    <mergeCell ref="C35:D35"/>
    <mergeCell ref="B34:D34"/>
    <mergeCell ref="B35:B36"/>
    <mergeCell ref="F35:F36"/>
    <mergeCell ref="C36:D36"/>
    <mergeCell ref="I20:L21"/>
    <mergeCell ref="I22:L22"/>
    <mergeCell ref="G20:G33"/>
    <mergeCell ref="B27:E27"/>
    <mergeCell ref="B21:D21"/>
    <mergeCell ref="B22:E22"/>
    <mergeCell ref="B25:E25"/>
    <mergeCell ref="B30:D30"/>
    <mergeCell ref="B32:E32"/>
    <mergeCell ref="B31:D31"/>
    <mergeCell ref="B33:E33"/>
    <mergeCell ref="A15:G15"/>
    <mergeCell ref="B18:D18"/>
    <mergeCell ref="F10:G10"/>
    <mergeCell ref="F12:G12"/>
    <mergeCell ref="B10:D10"/>
    <mergeCell ref="F11:G11"/>
    <mergeCell ref="B11:D11"/>
    <mergeCell ref="B12:D12"/>
    <mergeCell ref="B13:D13"/>
    <mergeCell ref="F13:G13"/>
    <mergeCell ref="A9:G9"/>
    <mergeCell ref="B2:D2"/>
    <mergeCell ref="B3:D3"/>
    <mergeCell ref="B4:D4"/>
    <mergeCell ref="B5:D5"/>
    <mergeCell ref="A7:G7"/>
  </mergeCells>
  <phoneticPr fontId="19" type="noConversion"/>
  <printOptions horizontalCentered="1"/>
  <pageMargins left="0.47244094488188981" right="0.47244094488188981" top="0.78740157480314965" bottom="0.78740157480314965" header="0.31496062992125984" footer="0.31496062992125984"/>
  <pageSetup paperSize="9" scale="73" orientation="portrait" r:id="rId1"/>
  <headerFooter>
    <oddFooter>&amp;R&amp;P/&amp;N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56"/>
  <sheetViews>
    <sheetView showGridLines="0" zoomScaleNormal="100" zoomScaleSheetLayoutView="100" workbookViewId="0">
      <selection activeCell="A12" sqref="A12"/>
    </sheetView>
  </sheetViews>
  <sheetFormatPr defaultColWidth="9.140625" defaultRowHeight="15"/>
  <cols>
    <col min="1" max="1" width="15.7109375" style="146" customWidth="1"/>
    <col min="2" max="2" width="48" style="146" customWidth="1"/>
    <col min="3" max="6" width="15.7109375" style="146" customWidth="1"/>
    <col min="7" max="16384" width="9.140625" style="146"/>
  </cols>
  <sheetData>
    <row r="1" spans="1:6" s="2" customFormat="1" ht="4.5" customHeight="1">
      <c r="A1" s="689"/>
      <c r="B1" s="690"/>
      <c r="C1" s="690"/>
      <c r="D1" s="942"/>
      <c r="E1" s="942"/>
      <c r="F1" s="943"/>
    </row>
    <row r="2" spans="1:6" s="2" customFormat="1" ht="29.25" customHeight="1">
      <c r="A2" s="133" t="s">
        <v>0</v>
      </c>
      <c r="B2" s="770" t="s">
        <v>1</v>
      </c>
      <c r="C2" s="771"/>
      <c r="D2" s="275"/>
      <c r="E2" s="148"/>
      <c r="F2" s="149"/>
    </row>
    <row r="3" spans="1:6" s="2" customFormat="1" ht="29.25" customHeight="1">
      <c r="A3" s="133" t="s">
        <v>5</v>
      </c>
      <c r="B3" s="770" t="s">
        <v>6</v>
      </c>
      <c r="C3" s="771"/>
      <c r="D3" s="23"/>
      <c r="E3" s="3"/>
      <c r="F3" s="287"/>
    </row>
    <row r="4" spans="1:6" s="2" customFormat="1" ht="29.25" customHeight="1">
      <c r="A4" s="133" t="s">
        <v>9</v>
      </c>
      <c r="B4" s="770" t="s">
        <v>10</v>
      </c>
      <c r="C4" s="771"/>
      <c r="D4" s="276"/>
      <c r="F4" s="24"/>
    </row>
    <row r="5" spans="1:6" s="2" customFormat="1" ht="29.25" customHeight="1">
      <c r="A5" s="133" t="s">
        <v>14</v>
      </c>
      <c r="B5" s="773" t="s">
        <v>15</v>
      </c>
      <c r="C5" s="774"/>
      <c r="D5" s="221"/>
      <c r="E5" s="26"/>
      <c r="F5" s="27"/>
    </row>
    <row r="6" spans="1:6" s="2" customFormat="1" ht="4.5" customHeight="1">
      <c r="A6" s="689"/>
      <c r="B6" s="690"/>
      <c r="C6" s="690"/>
      <c r="D6" s="944"/>
      <c r="E6" s="944"/>
      <c r="F6" s="945"/>
    </row>
    <row r="7" spans="1:6" s="2" customFormat="1" ht="33" customHeight="1">
      <c r="A7" s="692" t="s">
        <v>2459</v>
      </c>
      <c r="B7" s="693"/>
      <c r="C7" s="693"/>
      <c r="D7" s="693"/>
      <c r="E7" s="693"/>
      <c r="F7" s="694"/>
    </row>
    <row r="8" spans="1:6" s="2" customFormat="1" ht="4.5" customHeight="1">
      <c r="A8" s="689"/>
      <c r="B8" s="690"/>
      <c r="C8" s="690"/>
      <c r="D8" s="690"/>
      <c r="E8" s="690"/>
      <c r="F8" s="691"/>
    </row>
    <row r="9" spans="1:6" s="2" customFormat="1" ht="20.100000000000001" customHeight="1">
      <c r="A9" s="695" t="s">
        <v>17</v>
      </c>
      <c r="B9" s="696"/>
      <c r="C9" s="696"/>
      <c r="D9" s="696"/>
      <c r="E9" s="696"/>
      <c r="F9" s="697"/>
    </row>
    <row r="10" spans="1:6" s="2" customFormat="1" ht="20.100000000000001" customHeight="1">
      <c r="A10" s="134" t="s">
        <v>18</v>
      </c>
      <c r="B10" s="134" t="s">
        <v>19</v>
      </c>
      <c r="C10" s="715" t="s">
        <v>20</v>
      </c>
      <c r="D10" s="717"/>
      <c r="E10" s="715" t="s">
        <v>21</v>
      </c>
      <c r="F10" s="717"/>
    </row>
    <row r="11" spans="1:6" s="2" customFormat="1" ht="20.100000000000001" customHeight="1">
      <c r="A11" s="28" t="s">
        <v>125</v>
      </c>
      <c r="B11" s="28" t="s">
        <v>23</v>
      </c>
      <c r="C11" s="710">
        <v>45427</v>
      </c>
      <c r="D11" s="711"/>
      <c r="E11" s="712" t="s">
        <v>24</v>
      </c>
      <c r="F11" s="714"/>
    </row>
    <row r="12" spans="1:6" s="2" customFormat="1" ht="20.100000000000001" customHeight="1">
      <c r="A12" s="28" t="str">
        <f>'Planilha Resumo'!A12</f>
        <v>R8</v>
      </c>
      <c r="B12" s="28" t="str">
        <f>'Planilha Resumo'!B12</f>
        <v>Atendendo à Comentários</v>
      </c>
      <c r="C12" s="710">
        <f>'Planilha Resumo'!C12</f>
        <v>45496</v>
      </c>
      <c r="D12" s="711"/>
      <c r="E12" s="712" t="str">
        <f>'Planilha Resumo'!E12</f>
        <v>Grazielle Cruz/ Marcelo F. Pereira</v>
      </c>
      <c r="F12" s="714"/>
    </row>
    <row r="13" spans="1:6" s="2" customFormat="1" ht="20.100000000000001" customHeight="1">
      <c r="A13" s="28" t="str">
        <f>'Planilha Resumo'!A13</f>
        <v>R9</v>
      </c>
      <c r="B13" s="28" t="str">
        <f>'Planilha Resumo'!B13</f>
        <v>Atendendo à Comentários</v>
      </c>
      <c r="C13" s="710">
        <f>'Planilha Resumo'!C13</f>
        <v>45504</v>
      </c>
      <c r="D13" s="711"/>
      <c r="E13" s="712" t="str">
        <f>'Planilha Resumo'!E13</f>
        <v>Grazielle Cruz/ Marcelo F. Pereira</v>
      </c>
      <c r="F13" s="714"/>
    </row>
    <row r="14" spans="1:6" s="2" customFormat="1" ht="4.5" customHeight="1">
      <c r="A14" s="884"/>
      <c r="B14" s="884"/>
      <c r="C14" s="884"/>
      <c r="D14" s="884"/>
      <c r="E14" s="884"/>
      <c r="F14" s="884"/>
    </row>
    <row r="15" spans="1:6" s="143" customFormat="1" ht="39" customHeight="1">
      <c r="A15" s="949" t="s">
        <v>2460</v>
      </c>
      <c r="B15" s="949"/>
      <c r="C15" s="949"/>
      <c r="D15" s="949"/>
      <c r="E15" s="949"/>
      <c r="F15" s="949"/>
    </row>
    <row r="16" spans="1:6" s="143" customFormat="1" ht="19.5" customHeight="1">
      <c r="A16" s="950" t="s">
        <v>131</v>
      </c>
      <c r="B16" s="952" t="s">
        <v>1281</v>
      </c>
      <c r="C16" s="953" t="s">
        <v>2449</v>
      </c>
      <c r="D16" s="953"/>
      <c r="E16" s="953" t="s">
        <v>123</v>
      </c>
      <c r="F16" s="953"/>
    </row>
    <row r="17" spans="1:6" s="143" customFormat="1" ht="19.5" customHeight="1">
      <c r="A17" s="950"/>
      <c r="B17" s="952"/>
      <c r="C17" s="266" t="s">
        <v>2461</v>
      </c>
      <c r="D17" s="266" t="s">
        <v>2462</v>
      </c>
      <c r="E17" s="266" t="s">
        <v>2461</v>
      </c>
      <c r="F17" s="266" t="s">
        <v>2462</v>
      </c>
    </row>
    <row r="18" spans="1:6" s="143" customFormat="1" ht="22.5" customHeight="1">
      <c r="A18" s="951" t="s">
        <v>2463</v>
      </c>
      <c r="B18" s="951"/>
      <c r="C18" s="951"/>
      <c r="D18" s="951"/>
      <c r="E18" s="951"/>
      <c r="F18" s="951"/>
    </row>
    <row r="19" spans="1:6" s="143" customFormat="1">
      <c r="A19" s="144" t="s">
        <v>2464</v>
      </c>
      <c r="B19" s="140" t="s">
        <v>2465</v>
      </c>
      <c r="C19" s="267">
        <v>0</v>
      </c>
      <c r="D19" s="268">
        <v>0</v>
      </c>
      <c r="E19" s="267">
        <v>0.2</v>
      </c>
      <c r="F19" s="268">
        <v>0.2</v>
      </c>
    </row>
    <row r="20" spans="1:6" s="143" customFormat="1" ht="15" customHeight="1">
      <c r="A20" s="144" t="s">
        <v>2466</v>
      </c>
      <c r="B20" s="140" t="s">
        <v>2467</v>
      </c>
      <c r="C20" s="267">
        <v>1.4999999999999999E-2</v>
      </c>
      <c r="D20" s="268">
        <v>1.4999999999999999E-2</v>
      </c>
      <c r="E20" s="267">
        <v>1.4999999999999999E-2</v>
      </c>
      <c r="F20" s="268">
        <v>1.4999999999999999E-2</v>
      </c>
    </row>
    <row r="21" spans="1:6" s="143" customFormat="1">
      <c r="A21" s="144" t="s">
        <v>2468</v>
      </c>
      <c r="B21" s="140" t="s">
        <v>2469</v>
      </c>
      <c r="C21" s="267">
        <v>0.01</v>
      </c>
      <c r="D21" s="268">
        <v>0.01</v>
      </c>
      <c r="E21" s="267">
        <v>0.01</v>
      </c>
      <c r="F21" s="268">
        <v>0.01</v>
      </c>
    </row>
    <row r="22" spans="1:6" s="143" customFormat="1">
      <c r="A22" s="144" t="s">
        <v>2470</v>
      </c>
      <c r="B22" s="140" t="s">
        <v>2471</v>
      </c>
      <c r="C22" s="267">
        <v>2E-3</v>
      </c>
      <c r="D22" s="268">
        <v>2E-3</v>
      </c>
      <c r="E22" s="267">
        <v>2E-3</v>
      </c>
      <c r="F22" s="268">
        <v>2E-3</v>
      </c>
    </row>
    <row r="23" spans="1:6" s="143" customFormat="1">
      <c r="A23" s="144" t="s">
        <v>2472</v>
      </c>
      <c r="B23" s="140" t="s">
        <v>2473</v>
      </c>
      <c r="C23" s="267">
        <v>6.0000000000000001E-3</v>
      </c>
      <c r="D23" s="268">
        <v>6.0000000000000001E-3</v>
      </c>
      <c r="E23" s="267">
        <v>6.0000000000000001E-3</v>
      </c>
      <c r="F23" s="268">
        <v>6.0000000000000001E-3</v>
      </c>
    </row>
    <row r="24" spans="1:6" s="143" customFormat="1">
      <c r="A24" s="144" t="s">
        <v>2474</v>
      </c>
      <c r="B24" s="140" t="s">
        <v>2475</v>
      </c>
      <c r="C24" s="267">
        <v>2.5000000000000001E-2</v>
      </c>
      <c r="D24" s="268">
        <v>2.5000000000000001E-2</v>
      </c>
      <c r="E24" s="267">
        <v>2.5000000000000001E-2</v>
      </c>
      <c r="F24" s="268">
        <v>2.5000000000000001E-2</v>
      </c>
    </row>
    <row r="25" spans="1:6" s="143" customFormat="1">
      <c r="A25" s="144" t="s">
        <v>2476</v>
      </c>
      <c r="B25" s="140" t="s">
        <v>2477</v>
      </c>
      <c r="C25" s="267">
        <v>0.03</v>
      </c>
      <c r="D25" s="268">
        <v>0.03</v>
      </c>
      <c r="E25" s="267">
        <v>0.03</v>
      </c>
      <c r="F25" s="268">
        <v>0.03</v>
      </c>
    </row>
    <row r="26" spans="1:6" s="143" customFormat="1">
      <c r="A26" s="144" t="s">
        <v>2478</v>
      </c>
      <c r="B26" s="140" t="s">
        <v>2479</v>
      </c>
      <c r="C26" s="267">
        <v>0.08</v>
      </c>
      <c r="D26" s="268">
        <v>0.08</v>
      </c>
      <c r="E26" s="267">
        <v>0.08</v>
      </c>
      <c r="F26" s="268">
        <v>0.08</v>
      </c>
    </row>
    <row r="27" spans="1:6" s="143" customFormat="1">
      <c r="A27" s="144" t="s">
        <v>2480</v>
      </c>
      <c r="B27" s="140" t="s">
        <v>2481</v>
      </c>
      <c r="C27" s="267">
        <v>1.2E-2</v>
      </c>
      <c r="D27" s="268">
        <v>1.2E-2</v>
      </c>
      <c r="E27" s="267">
        <v>1.2E-2</v>
      </c>
      <c r="F27" s="268">
        <v>1.2E-2</v>
      </c>
    </row>
    <row r="28" spans="1:6" s="143" customFormat="1">
      <c r="A28" s="145" t="s">
        <v>2482</v>
      </c>
      <c r="B28" s="141" t="s">
        <v>2483</v>
      </c>
      <c r="C28" s="220">
        <f>SUM(C19:C27)</f>
        <v>0.18</v>
      </c>
      <c r="D28" s="220">
        <f>SUM(D19:D27)</f>
        <v>0.18</v>
      </c>
      <c r="E28" s="220">
        <f>SUM(E19:E27)</f>
        <v>0.38000000000000006</v>
      </c>
      <c r="F28" s="220">
        <f>SUM(F19:F27)</f>
        <v>0.38000000000000006</v>
      </c>
    </row>
    <row r="29" spans="1:6" s="143" customFormat="1" ht="22.5" customHeight="1">
      <c r="A29" s="951" t="s">
        <v>2484</v>
      </c>
      <c r="B29" s="951"/>
      <c r="C29" s="951"/>
      <c r="D29" s="951"/>
      <c r="E29" s="951"/>
      <c r="F29" s="951"/>
    </row>
    <row r="30" spans="1:6" s="143" customFormat="1">
      <c r="A30" s="144" t="s">
        <v>2485</v>
      </c>
      <c r="B30" s="140" t="s">
        <v>2486</v>
      </c>
      <c r="C30" s="267">
        <v>0.17760000000000001</v>
      </c>
      <c r="D30" s="268" t="s">
        <v>2487</v>
      </c>
      <c r="E30" s="267">
        <v>0.17760000000000001</v>
      </c>
      <c r="F30" s="268" t="s">
        <v>2487</v>
      </c>
    </row>
    <row r="31" spans="1:6" s="143" customFormat="1">
      <c r="A31" s="144" t="s">
        <v>2488</v>
      </c>
      <c r="B31" s="140" t="s">
        <v>2489</v>
      </c>
      <c r="C31" s="267">
        <v>3.6799999999999999E-2</v>
      </c>
      <c r="D31" s="268" t="s">
        <v>2487</v>
      </c>
      <c r="E31" s="267">
        <v>3.6799999999999999E-2</v>
      </c>
      <c r="F31" s="268" t="s">
        <v>2487</v>
      </c>
    </row>
    <row r="32" spans="1:6" s="143" customFormat="1">
      <c r="A32" s="144" t="s">
        <v>2490</v>
      </c>
      <c r="B32" s="140" t="s">
        <v>2491</v>
      </c>
      <c r="C32" s="267">
        <v>8.6E-3</v>
      </c>
      <c r="D32" s="267">
        <v>6.4000000000000003E-3</v>
      </c>
      <c r="E32" s="267">
        <v>8.6E-3</v>
      </c>
      <c r="F32" s="268">
        <v>6.4000000000000003E-3</v>
      </c>
    </row>
    <row r="33" spans="1:6" s="143" customFormat="1">
      <c r="A33" s="144" t="s">
        <v>2492</v>
      </c>
      <c r="B33" s="140" t="s">
        <v>2493</v>
      </c>
      <c r="C33" s="267">
        <v>0.1114</v>
      </c>
      <c r="D33" s="267">
        <v>8.3299999999999999E-2</v>
      </c>
      <c r="E33" s="267">
        <v>0.1114</v>
      </c>
      <c r="F33" s="268">
        <v>8.3299999999999999E-2</v>
      </c>
    </row>
    <row r="34" spans="1:6" s="143" customFormat="1">
      <c r="A34" s="144" t="s">
        <v>2494</v>
      </c>
      <c r="B34" s="140" t="s">
        <v>2495</v>
      </c>
      <c r="C34" s="267">
        <v>5.9999999999999995E-4</v>
      </c>
      <c r="D34" s="267">
        <v>4.0000000000000002E-4</v>
      </c>
      <c r="E34" s="267">
        <v>5.9999999999999995E-4</v>
      </c>
      <c r="F34" s="268">
        <v>4.0000000000000002E-4</v>
      </c>
    </row>
    <row r="35" spans="1:6" s="143" customFormat="1">
      <c r="A35" s="144" t="s">
        <v>2496</v>
      </c>
      <c r="B35" s="140" t="s">
        <v>2497</v>
      </c>
      <c r="C35" s="267">
        <v>7.4000000000000003E-3</v>
      </c>
      <c r="D35" s="267">
        <v>5.5999999999999999E-3</v>
      </c>
      <c r="E35" s="267">
        <v>7.4000000000000003E-3</v>
      </c>
      <c r="F35" s="268">
        <v>5.5999999999999999E-3</v>
      </c>
    </row>
    <row r="36" spans="1:6" s="143" customFormat="1">
      <c r="A36" s="144" t="s">
        <v>2498</v>
      </c>
      <c r="B36" s="140" t="s">
        <v>2499</v>
      </c>
      <c r="C36" s="267">
        <v>1.0999999999999999E-2</v>
      </c>
      <c r="D36" s="268" t="s">
        <v>2487</v>
      </c>
      <c r="E36" s="267">
        <v>1.0999999999999999E-2</v>
      </c>
      <c r="F36" s="268" t="s">
        <v>2487</v>
      </c>
    </row>
    <row r="37" spans="1:6" s="143" customFormat="1">
      <c r="A37" s="144" t="s">
        <v>2500</v>
      </c>
      <c r="B37" s="140" t="s">
        <v>2501</v>
      </c>
      <c r="C37" s="267">
        <v>1E-3</v>
      </c>
      <c r="D37" s="267">
        <v>8.0000000000000004E-4</v>
      </c>
      <c r="E37" s="267">
        <v>1E-3</v>
      </c>
      <c r="F37" s="268">
        <v>8.0000000000000004E-4</v>
      </c>
    </row>
    <row r="38" spans="1:6" s="143" customFormat="1">
      <c r="A38" s="144" t="s">
        <v>2502</v>
      </c>
      <c r="B38" s="140" t="s">
        <v>2503</v>
      </c>
      <c r="C38" s="267">
        <v>0</v>
      </c>
      <c r="D38" s="267">
        <v>0</v>
      </c>
      <c r="E38" s="267">
        <v>0</v>
      </c>
      <c r="F38" s="268">
        <v>0</v>
      </c>
    </row>
    <row r="39" spans="1:6" s="143" customFormat="1">
      <c r="A39" s="144" t="s">
        <v>2504</v>
      </c>
      <c r="B39" s="140" t="s">
        <v>2505</v>
      </c>
      <c r="C39" s="267">
        <v>4.0000000000000002E-4</v>
      </c>
      <c r="D39" s="267">
        <v>2.9999999999999997E-4</v>
      </c>
      <c r="E39" s="267">
        <v>4.0000000000000002E-4</v>
      </c>
      <c r="F39" s="268">
        <v>2.9999999999999997E-4</v>
      </c>
    </row>
    <row r="40" spans="1:6" s="143" customFormat="1">
      <c r="A40" s="145" t="s">
        <v>2506</v>
      </c>
      <c r="B40" s="141" t="s">
        <v>2483</v>
      </c>
      <c r="C40" s="220">
        <f>SUM(C30:C39)</f>
        <v>0.35480000000000006</v>
      </c>
      <c r="D40" s="220">
        <f>SUM(D30:D39)</f>
        <v>9.6799999999999983E-2</v>
      </c>
      <c r="E40" s="220">
        <f>SUM(E30:E39)</f>
        <v>0.35480000000000006</v>
      </c>
      <c r="F40" s="220">
        <f>SUM(F30:F39)</f>
        <v>9.6799999999999983E-2</v>
      </c>
    </row>
    <row r="41" spans="1:6" s="143" customFormat="1" ht="22.5" customHeight="1">
      <c r="A41" s="951" t="s">
        <v>2507</v>
      </c>
      <c r="B41" s="951"/>
      <c r="C41" s="951"/>
      <c r="D41" s="951"/>
      <c r="E41" s="951"/>
      <c r="F41" s="951"/>
    </row>
    <row r="42" spans="1:6" s="143" customFormat="1">
      <c r="A42" s="144" t="s">
        <v>2508</v>
      </c>
      <c r="B42" s="140" t="s">
        <v>2509</v>
      </c>
      <c r="C42" s="268">
        <v>6.0100000000000001E-2</v>
      </c>
      <c r="D42" s="268">
        <v>4.4999999999999998E-2</v>
      </c>
      <c r="E42" s="268">
        <v>6.0100000000000001E-2</v>
      </c>
      <c r="F42" s="268">
        <v>4.4999999999999998E-2</v>
      </c>
    </row>
    <row r="43" spans="1:6" s="143" customFormat="1">
      <c r="A43" s="144" t="s">
        <v>2510</v>
      </c>
      <c r="B43" s="140" t="s">
        <v>2511</v>
      </c>
      <c r="C43" s="268">
        <v>1.4E-3</v>
      </c>
      <c r="D43" s="268">
        <v>1.1000000000000001E-3</v>
      </c>
      <c r="E43" s="268">
        <v>1.4E-3</v>
      </c>
      <c r="F43" s="268">
        <v>1.1000000000000001E-3</v>
      </c>
    </row>
    <row r="44" spans="1:6" s="143" customFormat="1">
      <c r="A44" s="144" t="s">
        <v>2512</v>
      </c>
      <c r="B44" s="140" t="s">
        <v>2513</v>
      </c>
      <c r="C44" s="268">
        <v>0.1216</v>
      </c>
      <c r="D44" s="268">
        <v>9.0999999999999998E-2</v>
      </c>
      <c r="E44" s="268">
        <v>0.1216</v>
      </c>
      <c r="F44" s="268">
        <v>9.0999999999999998E-2</v>
      </c>
    </row>
    <row r="45" spans="1:6" s="143" customFormat="1">
      <c r="A45" s="144" t="s">
        <v>2514</v>
      </c>
      <c r="B45" s="140" t="s">
        <v>2515</v>
      </c>
      <c r="C45" s="268">
        <v>2.5899999999999999E-2</v>
      </c>
      <c r="D45" s="268">
        <v>1.9400000000000001E-2</v>
      </c>
      <c r="E45" s="268">
        <v>2.5899999999999999E-2</v>
      </c>
      <c r="F45" s="268">
        <v>1.9400000000000001E-2</v>
      </c>
    </row>
    <row r="46" spans="1:6" s="143" customFormat="1">
      <c r="A46" s="144" t="s">
        <v>2516</v>
      </c>
      <c r="B46" s="140" t="s">
        <v>2517</v>
      </c>
      <c r="C46" s="268">
        <v>5.1000000000000004E-3</v>
      </c>
      <c r="D46" s="268">
        <v>3.8E-3</v>
      </c>
      <c r="E46" s="268">
        <v>5.1000000000000004E-3</v>
      </c>
      <c r="F46" s="268">
        <v>3.8E-3</v>
      </c>
    </row>
    <row r="47" spans="1:6" s="143" customFormat="1">
      <c r="A47" s="145" t="s">
        <v>2518</v>
      </c>
      <c r="B47" s="141" t="s">
        <v>2483</v>
      </c>
      <c r="C47" s="220">
        <f>SUM(C42:C46)</f>
        <v>0.21409999999999998</v>
      </c>
      <c r="D47" s="220">
        <f>SUM(D42:D46)</f>
        <v>0.1603</v>
      </c>
      <c r="E47" s="220">
        <f>SUM(E42:E46)</f>
        <v>0.21409999999999998</v>
      </c>
      <c r="F47" s="220">
        <f>SUM(F42:F46)</f>
        <v>0.1603</v>
      </c>
    </row>
    <row r="48" spans="1:6" s="143" customFormat="1" ht="22.5" customHeight="1">
      <c r="A48" s="951" t="s">
        <v>2519</v>
      </c>
      <c r="B48" s="951"/>
      <c r="C48" s="951"/>
      <c r="D48" s="951"/>
      <c r="E48" s="951"/>
      <c r="F48" s="951"/>
    </row>
    <row r="49" spans="1:6" s="143" customFormat="1">
      <c r="A49" s="144" t="s">
        <v>2520</v>
      </c>
      <c r="B49" s="140" t="s">
        <v>2521</v>
      </c>
      <c r="C49" s="268">
        <v>6.3899999999999998E-2</v>
      </c>
      <c r="D49" s="268">
        <v>1.7399999999999999E-2</v>
      </c>
      <c r="E49" s="268">
        <v>0.1348</v>
      </c>
      <c r="F49" s="268">
        <v>3.6799999999999999E-2</v>
      </c>
    </row>
    <row r="50" spans="1:6" s="143" customFormat="1" ht="38.25">
      <c r="A50" s="144" t="s">
        <v>2522</v>
      </c>
      <c r="B50" s="142" t="s">
        <v>2523</v>
      </c>
      <c r="C50" s="268">
        <v>5.1000000000000004E-3</v>
      </c>
      <c r="D50" s="268">
        <v>3.8E-3</v>
      </c>
      <c r="E50" s="268">
        <v>5.3E-3</v>
      </c>
      <c r="F50" s="268">
        <v>4.0000000000000001E-3</v>
      </c>
    </row>
    <row r="51" spans="1:6" s="143" customFormat="1">
      <c r="A51" s="145" t="s">
        <v>2524</v>
      </c>
      <c r="B51" s="141" t="s">
        <v>2483</v>
      </c>
      <c r="C51" s="220">
        <f>SUM(C49:C50)</f>
        <v>6.9000000000000006E-2</v>
      </c>
      <c r="D51" s="220">
        <f>SUM(D49:D50)</f>
        <v>2.12E-2</v>
      </c>
      <c r="E51" s="220">
        <f>SUM(E49:E50)</f>
        <v>0.1401</v>
      </c>
      <c r="F51" s="220">
        <f>SUM(F49:F50)</f>
        <v>4.0800000000000003E-2</v>
      </c>
    </row>
    <row r="52" spans="1:6" s="143" customFormat="1" ht="15" customHeight="1">
      <c r="A52" s="947" t="s">
        <v>2525</v>
      </c>
      <c r="B52" s="947"/>
      <c r="C52" s="222">
        <f>C28+C40+C47+C51</f>
        <v>0.81790000000000007</v>
      </c>
      <c r="D52" s="222">
        <f>D28+D40+D47+D51</f>
        <v>0.45829999999999999</v>
      </c>
      <c r="E52" s="222">
        <f>E28+E40+E47+E51</f>
        <v>1.089</v>
      </c>
      <c r="F52" s="222">
        <f>F28+F40+F47+F51</f>
        <v>0.67789999999999995</v>
      </c>
    </row>
    <row r="53" spans="1:6" s="143" customFormat="1" ht="37.5" customHeight="1">
      <c r="A53" s="269"/>
      <c r="B53" s="948" t="s">
        <v>2526</v>
      </c>
      <c r="C53" s="948"/>
      <c r="D53" s="948"/>
      <c r="E53" s="948"/>
      <c r="F53" s="270"/>
    </row>
    <row r="54" spans="1:6" s="2" customFormat="1" ht="4.5" customHeight="1">
      <c r="A54" s="946"/>
      <c r="B54" s="944"/>
      <c r="C54" s="944"/>
      <c r="D54" s="944"/>
      <c r="E54" s="944"/>
      <c r="F54" s="945"/>
    </row>
    <row r="56" spans="1:6">
      <c r="B56" s="16"/>
    </row>
  </sheetData>
  <mergeCells count="30">
    <mergeCell ref="A14:F14"/>
    <mergeCell ref="A54:F54"/>
    <mergeCell ref="A52:B52"/>
    <mergeCell ref="B53:E53"/>
    <mergeCell ref="A15:F15"/>
    <mergeCell ref="A16:A17"/>
    <mergeCell ref="A48:F48"/>
    <mergeCell ref="A18:F18"/>
    <mergeCell ref="A29:F29"/>
    <mergeCell ref="A41:F41"/>
    <mergeCell ref="B16:B17"/>
    <mergeCell ref="C16:D16"/>
    <mergeCell ref="E16:F16"/>
    <mergeCell ref="A1:F1"/>
    <mergeCell ref="B2:C2"/>
    <mergeCell ref="B3:C3"/>
    <mergeCell ref="B4:C4"/>
    <mergeCell ref="A6:F6"/>
    <mergeCell ref="A7:F7"/>
    <mergeCell ref="E12:F12"/>
    <mergeCell ref="C13:D13"/>
    <mergeCell ref="E13:F13"/>
    <mergeCell ref="B5:C5"/>
    <mergeCell ref="E11:F11"/>
    <mergeCell ref="C12:D12"/>
    <mergeCell ref="A8:F8"/>
    <mergeCell ref="A9:F9"/>
    <mergeCell ref="C10:D10"/>
    <mergeCell ref="E10:F10"/>
    <mergeCell ref="C11:D11"/>
  </mergeCells>
  <printOptions horizontalCentered="1"/>
  <pageMargins left="0.47244094488188981" right="0.47244094488188981" top="0.78740157480314965" bottom="0.78740157480314965" header="0.31496062992125984" footer="0.31496062992125984"/>
  <pageSetup paperSize="9" scale="73" fitToHeight="0" orientation="portrait" r:id="rId1"/>
  <headerFooter>
    <oddFooter>&amp;R&amp;P/&amp;N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740"/>
  <sheetViews>
    <sheetView showGridLines="0" tabSelected="1" zoomScale="70" zoomScaleNormal="70" zoomScaleSheetLayoutView="70" workbookViewId="0">
      <selection activeCell="J146" sqref="J146"/>
    </sheetView>
  </sheetViews>
  <sheetFormatPr defaultColWidth="9.140625" defaultRowHeight="15"/>
  <cols>
    <col min="1" max="1" width="20.140625" style="1" bestFit="1" customWidth="1"/>
    <col min="2" max="2" width="16.7109375" style="1" bestFit="1" customWidth="1"/>
    <col min="3" max="3" width="17.42578125" style="1" bestFit="1" customWidth="1"/>
    <col min="4" max="4" width="102" style="1" bestFit="1" customWidth="1"/>
    <col min="5" max="6" width="17.140625" style="1" bestFit="1" customWidth="1"/>
    <col min="7" max="7" width="23" style="1" bestFit="1" customWidth="1"/>
    <col min="8" max="8" width="20" style="1" bestFit="1" customWidth="1"/>
    <col min="9" max="9" width="24" style="1" bestFit="1" customWidth="1"/>
    <col min="10" max="10" width="28.140625" style="1" bestFit="1" customWidth="1"/>
    <col min="11" max="11" width="20" style="1" bestFit="1" customWidth="1"/>
    <col min="12" max="12" width="11.7109375" style="1" bestFit="1" customWidth="1"/>
    <col min="13" max="13" width="12.28515625" style="1" bestFit="1" customWidth="1"/>
    <col min="14" max="16384" width="9.140625" style="1"/>
  </cols>
  <sheetData>
    <row r="1" spans="1:12" s="2" customFormat="1" ht="4.5" customHeight="1">
      <c r="A1" s="689"/>
      <c r="B1" s="731"/>
      <c r="C1" s="731"/>
      <c r="D1" s="690"/>
      <c r="E1" s="690"/>
      <c r="F1" s="690"/>
      <c r="G1" s="690"/>
      <c r="H1" s="690"/>
      <c r="I1" s="690"/>
      <c r="J1" s="690"/>
      <c r="K1" s="690"/>
      <c r="L1" s="691"/>
    </row>
    <row r="2" spans="1:12" s="2" customFormat="1" ht="29.25" customHeight="1">
      <c r="A2" s="133" t="s">
        <v>0</v>
      </c>
      <c r="B2" s="734" t="s">
        <v>1</v>
      </c>
      <c r="C2" s="735"/>
      <c r="D2" s="735"/>
      <c r="E2" s="732" t="s">
        <v>122</v>
      </c>
      <c r="F2" s="284" t="s">
        <v>2</v>
      </c>
      <c r="G2" s="284" t="s">
        <v>4</v>
      </c>
      <c r="H2" s="284" t="s">
        <v>3</v>
      </c>
      <c r="I2" s="732" t="s">
        <v>123</v>
      </c>
      <c r="J2" s="151"/>
      <c r="L2" s="152"/>
    </row>
    <row r="3" spans="1:12" s="2" customFormat="1" ht="29.25" customHeight="1">
      <c r="A3" s="133" t="s">
        <v>5</v>
      </c>
      <c r="B3" s="734" t="s">
        <v>6</v>
      </c>
      <c r="C3" s="735"/>
      <c r="D3" s="735"/>
      <c r="E3" s="733"/>
      <c r="F3" s="285" t="s">
        <v>7</v>
      </c>
      <c r="G3" s="283" t="s">
        <v>8</v>
      </c>
      <c r="H3" s="285">
        <v>45292</v>
      </c>
      <c r="I3" s="733"/>
      <c r="L3" s="24"/>
    </row>
    <row r="4" spans="1:12" s="2" customFormat="1" ht="29.25" customHeight="1">
      <c r="A4" s="133" t="s">
        <v>9</v>
      </c>
      <c r="B4" s="734" t="s">
        <v>10</v>
      </c>
      <c r="C4" s="735"/>
      <c r="D4" s="744"/>
      <c r="E4" s="736" t="s">
        <v>11</v>
      </c>
      <c r="F4" s="737"/>
      <c r="G4" s="134" t="s">
        <v>12</v>
      </c>
      <c r="H4" s="740">
        <v>0.24199999999999999</v>
      </c>
      <c r="I4" s="741"/>
      <c r="J4" s="23"/>
      <c r="L4" s="24"/>
    </row>
    <row r="5" spans="1:12" s="2" customFormat="1" ht="29.25" customHeight="1">
      <c r="A5" s="135" t="s">
        <v>14</v>
      </c>
      <c r="B5" s="745" t="s">
        <v>15</v>
      </c>
      <c r="C5" s="746"/>
      <c r="D5" s="747"/>
      <c r="E5" s="738"/>
      <c r="F5" s="739"/>
      <c r="G5" s="134" t="s">
        <v>13</v>
      </c>
      <c r="H5" s="742">
        <v>0.19620000000000001</v>
      </c>
      <c r="I5" s="743"/>
      <c r="J5" s="25"/>
      <c r="K5" s="26"/>
      <c r="L5" s="27"/>
    </row>
    <row r="6" spans="1:12" s="2" customFormat="1" ht="4.5" customHeight="1">
      <c r="A6" s="689"/>
      <c r="B6" s="731"/>
      <c r="C6" s="731"/>
      <c r="D6" s="690"/>
      <c r="E6" s="690"/>
      <c r="F6" s="690"/>
      <c r="G6" s="690"/>
      <c r="H6" s="690"/>
      <c r="I6" s="690"/>
      <c r="J6" s="690"/>
      <c r="K6" s="690"/>
      <c r="L6" s="691"/>
    </row>
    <row r="7" spans="1:12" s="2" customFormat="1" ht="33" customHeight="1">
      <c r="A7" s="692" t="s">
        <v>124</v>
      </c>
      <c r="B7" s="693"/>
      <c r="C7" s="693"/>
      <c r="D7" s="693"/>
      <c r="E7" s="693"/>
      <c r="F7" s="693"/>
      <c r="G7" s="693"/>
      <c r="H7" s="693"/>
      <c r="I7" s="693"/>
      <c r="J7" s="693"/>
      <c r="K7" s="693"/>
      <c r="L7" s="694"/>
    </row>
    <row r="8" spans="1:12" s="2" customFormat="1" ht="4.5" customHeight="1">
      <c r="A8" s="689"/>
      <c r="B8" s="731"/>
      <c r="C8" s="731"/>
      <c r="D8" s="690"/>
      <c r="E8" s="690"/>
      <c r="F8" s="690"/>
      <c r="G8" s="690"/>
      <c r="H8" s="690"/>
      <c r="I8" s="690"/>
      <c r="J8" s="690"/>
      <c r="K8" s="690"/>
      <c r="L8" s="691"/>
    </row>
    <row r="9" spans="1:12" s="2" customFormat="1" ht="20.100000000000001" customHeight="1">
      <c r="A9" s="695" t="s">
        <v>17</v>
      </c>
      <c r="B9" s="748"/>
      <c r="C9" s="748"/>
      <c r="D9" s="696"/>
      <c r="E9" s="696"/>
      <c r="F9" s="696"/>
      <c r="G9" s="696"/>
      <c r="H9" s="696"/>
      <c r="I9" s="696"/>
      <c r="J9" s="696"/>
      <c r="K9" s="696"/>
      <c r="L9" s="697"/>
    </row>
    <row r="10" spans="1:12" s="2" customFormat="1" ht="20.100000000000001" customHeight="1">
      <c r="A10" s="749" t="s">
        <v>18</v>
      </c>
      <c r="B10" s="750"/>
      <c r="C10" s="715" t="s">
        <v>19</v>
      </c>
      <c r="D10" s="717"/>
      <c r="E10" s="709" t="s">
        <v>20</v>
      </c>
      <c r="F10" s="709"/>
      <c r="G10" s="715" t="s">
        <v>21</v>
      </c>
      <c r="H10" s="716"/>
      <c r="I10" s="716"/>
      <c r="J10" s="716"/>
      <c r="K10" s="716"/>
      <c r="L10" s="717"/>
    </row>
    <row r="11" spans="1:12" s="2" customFormat="1" ht="20.100000000000001" customHeight="1">
      <c r="A11" s="685" t="s">
        <v>125</v>
      </c>
      <c r="B11" s="687"/>
      <c r="C11" s="712" t="s">
        <v>23</v>
      </c>
      <c r="D11" s="714"/>
      <c r="E11" s="710">
        <v>45427</v>
      </c>
      <c r="F11" s="711"/>
      <c r="G11" s="712" t="s">
        <v>24</v>
      </c>
      <c r="H11" s="713"/>
      <c r="I11" s="713"/>
      <c r="J11" s="713"/>
      <c r="K11" s="713"/>
      <c r="L11" s="714"/>
    </row>
    <row r="12" spans="1:12" s="2" customFormat="1" ht="20.100000000000001" customHeight="1">
      <c r="A12" s="685" t="str">
        <f>'Planilha Resumo'!A12</f>
        <v>R8</v>
      </c>
      <c r="B12" s="687"/>
      <c r="C12" s="712" t="str">
        <f>'Planilha Resumo'!B12</f>
        <v>Atendendo à Comentários</v>
      </c>
      <c r="D12" s="714"/>
      <c r="E12" s="710">
        <f>'Planilha Resumo'!C12</f>
        <v>45496</v>
      </c>
      <c r="F12" s="711"/>
      <c r="G12" s="712" t="str">
        <f>'Planilha Resumo'!E12</f>
        <v>Grazielle Cruz/ Marcelo F. Pereira</v>
      </c>
      <c r="H12" s="713"/>
      <c r="I12" s="713"/>
      <c r="J12" s="713"/>
      <c r="K12" s="713"/>
      <c r="L12" s="714"/>
    </row>
    <row r="13" spans="1:12" s="2" customFormat="1" ht="20.100000000000001" customHeight="1">
      <c r="A13" s="685" t="str">
        <f>'Planilha Resumo'!A13</f>
        <v>R9</v>
      </c>
      <c r="B13" s="687"/>
      <c r="C13" s="712" t="str">
        <f>'Planilha Resumo'!B13</f>
        <v>Atendendo à Comentários</v>
      </c>
      <c r="D13" s="714"/>
      <c r="E13" s="710">
        <f>'Planilha Resumo'!C13</f>
        <v>45504</v>
      </c>
      <c r="F13" s="711"/>
      <c r="G13" s="712" t="str">
        <f>'Planilha Resumo'!E13</f>
        <v>Grazielle Cruz/ Marcelo F. Pereira</v>
      </c>
      <c r="H13" s="713"/>
      <c r="I13" s="713"/>
      <c r="J13" s="713"/>
      <c r="K13" s="713"/>
      <c r="L13" s="714"/>
    </row>
    <row r="14" spans="1:12" s="2" customFormat="1" ht="20.100000000000001" customHeight="1">
      <c r="A14" s="685" t="str">
        <f>'Planilha Resumo'!A14</f>
        <v>R12</v>
      </c>
      <c r="B14" s="687"/>
      <c r="C14" s="712" t="str">
        <f>'Planilha Resumo'!B14</f>
        <v>Correção de itens com BDI diferenciado</v>
      </c>
      <c r="D14" s="714"/>
      <c r="E14" s="710">
        <f>'Planilha Resumo'!C14</f>
        <v>45569</v>
      </c>
      <c r="F14" s="711"/>
      <c r="G14" s="712" t="str">
        <f>'Planilha Resumo'!E14</f>
        <v>Tainá Verona</v>
      </c>
      <c r="H14" s="713"/>
      <c r="I14" s="713"/>
      <c r="J14" s="713"/>
      <c r="K14" s="713"/>
      <c r="L14" s="714"/>
    </row>
    <row r="15" spans="1:12" s="2" customFormat="1" ht="4.5" customHeight="1">
      <c r="A15" s="761"/>
      <c r="B15" s="762"/>
      <c r="C15" s="762"/>
      <c r="D15" s="762"/>
      <c r="E15" s="762"/>
      <c r="F15" s="762"/>
      <c r="G15" s="762"/>
      <c r="H15" s="762"/>
      <c r="I15" s="762"/>
      <c r="J15" s="762"/>
      <c r="K15" s="762"/>
      <c r="L15" s="763"/>
    </row>
    <row r="16" spans="1:12" s="2" customFormat="1" ht="22.5" customHeight="1">
      <c r="A16" s="754" t="s">
        <v>27</v>
      </c>
      <c r="B16" s="764" t="s">
        <v>126</v>
      </c>
      <c r="C16" s="765"/>
      <c r="D16" s="754" t="s">
        <v>28</v>
      </c>
      <c r="E16" s="754" t="s">
        <v>127</v>
      </c>
      <c r="F16" s="752" t="s">
        <v>128</v>
      </c>
      <c r="G16" s="757" t="s">
        <v>129</v>
      </c>
      <c r="H16" s="758"/>
      <c r="I16" s="756" t="s">
        <v>11</v>
      </c>
      <c r="J16" s="757" t="s">
        <v>29</v>
      </c>
      <c r="K16" s="758"/>
      <c r="L16" s="756" t="s">
        <v>30</v>
      </c>
    </row>
    <row r="17" spans="1:12" s="2" customFormat="1" ht="22.5" customHeight="1">
      <c r="A17" s="755"/>
      <c r="B17" s="205" t="s">
        <v>130</v>
      </c>
      <c r="C17" s="205" t="s">
        <v>131</v>
      </c>
      <c r="D17" s="755"/>
      <c r="E17" s="755"/>
      <c r="F17" s="753"/>
      <c r="G17" s="63" t="s">
        <v>132</v>
      </c>
      <c r="H17" s="204" t="s">
        <v>133</v>
      </c>
      <c r="I17" s="728"/>
      <c r="J17" s="63" t="s">
        <v>132</v>
      </c>
      <c r="K17" s="204" t="s">
        <v>133</v>
      </c>
      <c r="L17" s="728"/>
    </row>
    <row r="18" spans="1:12" s="2" customFormat="1" ht="22.5" customHeight="1">
      <c r="A18" s="426">
        <v>1</v>
      </c>
      <c r="B18" s="427"/>
      <c r="C18" s="427"/>
      <c r="D18" s="435" t="s">
        <v>31</v>
      </c>
      <c r="E18" s="428"/>
      <c r="F18" s="429"/>
      <c r="G18" s="430"/>
      <c r="H18" s="430"/>
      <c r="I18" s="431"/>
      <c r="J18" s="430"/>
      <c r="K18" s="434">
        <f>K19+K29+K34+K65</f>
        <v>666011.04999999993</v>
      </c>
      <c r="L18" s="433">
        <f>L19+L29+L34+L65</f>
        <v>6.7056533596851611E-2</v>
      </c>
    </row>
    <row r="19" spans="1:12" s="3" customFormat="1">
      <c r="A19" s="32" t="s">
        <v>32</v>
      </c>
      <c r="B19" s="32" t="s">
        <v>34</v>
      </c>
      <c r="C19" s="32" t="s">
        <v>34</v>
      </c>
      <c r="D19" s="34" t="s">
        <v>33</v>
      </c>
      <c r="E19" s="33"/>
      <c r="F19" s="33"/>
      <c r="G19" s="29"/>
      <c r="H19" s="30"/>
      <c r="I19" s="30"/>
      <c r="J19" s="30"/>
      <c r="K19" s="31">
        <f>ROUND((K20+K26),2)</f>
        <v>312904.95</v>
      </c>
      <c r="L19" s="249">
        <f>L20+L26</f>
        <v>3.1504464216166039E-2</v>
      </c>
    </row>
    <row r="20" spans="1:12" s="3" customFormat="1">
      <c r="A20" s="35" t="s">
        <v>35</v>
      </c>
      <c r="B20" s="64" t="s">
        <v>34</v>
      </c>
      <c r="C20" s="64" t="s">
        <v>34</v>
      </c>
      <c r="D20" s="36" t="s">
        <v>36</v>
      </c>
      <c r="E20" s="37"/>
      <c r="F20" s="38"/>
      <c r="G20" s="37"/>
      <c r="H20" s="39"/>
      <c r="I20" s="39"/>
      <c r="J20" s="39"/>
      <c r="K20" s="40">
        <f>SUM(K21:K25)</f>
        <v>310608.91000000003</v>
      </c>
      <c r="L20" s="247">
        <f>SUM(L21:L25)</f>
        <v>3.1273290148709179E-2</v>
      </c>
    </row>
    <row r="21" spans="1:12" s="3" customFormat="1">
      <c r="A21" s="559" t="s">
        <v>134</v>
      </c>
      <c r="B21" s="559" t="s">
        <v>3</v>
      </c>
      <c r="C21" s="523" t="s">
        <v>135</v>
      </c>
      <c r="D21" s="561" t="s">
        <v>136</v>
      </c>
      <c r="E21" s="619" t="s">
        <v>137</v>
      </c>
      <c r="F21" s="563">
        <v>96</v>
      </c>
      <c r="G21" s="617">
        <v>233.82</v>
      </c>
      <c r="H21" s="618">
        <v>22446.720000000001</v>
      </c>
      <c r="I21" s="618" t="s">
        <v>12</v>
      </c>
      <c r="J21" s="624">
        <v>290.40443999999997</v>
      </c>
      <c r="K21" s="192">
        <f>ROUND((IF(C21="","",F21*J21)),2)</f>
        <v>27878.83</v>
      </c>
      <c r="L21" s="250">
        <f>IF(C21="","",K21/$K$734)</f>
        <v>2.8069469726304309E-3</v>
      </c>
    </row>
    <row r="22" spans="1:12" s="3" customFormat="1">
      <c r="A22" s="559" t="s">
        <v>138</v>
      </c>
      <c r="B22" s="559" t="s">
        <v>3</v>
      </c>
      <c r="C22" s="523" t="s">
        <v>135</v>
      </c>
      <c r="D22" s="561" t="s">
        <v>139</v>
      </c>
      <c r="E22" s="619" t="s">
        <v>137</v>
      </c>
      <c r="F22" s="563">
        <v>96</v>
      </c>
      <c r="G22" s="617">
        <v>233.82</v>
      </c>
      <c r="H22" s="618">
        <v>22446.720000000001</v>
      </c>
      <c r="I22" s="618" t="s">
        <v>12</v>
      </c>
      <c r="J22" s="624">
        <v>290.40443999999997</v>
      </c>
      <c r="K22" s="192">
        <f>ROUND((IF(C22="","",F22*J22)),2)</f>
        <v>27878.83</v>
      </c>
      <c r="L22" s="250">
        <f>IF(C22="","",K22/$K$734)</f>
        <v>2.8069469726304309E-3</v>
      </c>
    </row>
    <row r="23" spans="1:12" s="3" customFormat="1">
      <c r="A23" s="559" t="s">
        <v>140</v>
      </c>
      <c r="B23" s="559" t="s">
        <v>3</v>
      </c>
      <c r="C23" s="523" t="s">
        <v>135</v>
      </c>
      <c r="D23" s="561" t="s">
        <v>141</v>
      </c>
      <c r="E23" s="619" t="s">
        <v>137</v>
      </c>
      <c r="F23" s="563">
        <v>96</v>
      </c>
      <c r="G23" s="617">
        <v>233.82</v>
      </c>
      <c r="H23" s="618">
        <v>22446.720000000001</v>
      </c>
      <c r="I23" s="618" t="s">
        <v>12</v>
      </c>
      <c r="J23" s="624">
        <v>290.40443999999997</v>
      </c>
      <c r="K23" s="192">
        <f>ROUND((IF(C23="","",F23*J23)),2)</f>
        <v>27878.83</v>
      </c>
      <c r="L23" s="250">
        <f>IF(C23="","",K23/$K$734)</f>
        <v>2.8069469726304309E-3</v>
      </c>
    </row>
    <row r="24" spans="1:12" s="3" customFormat="1">
      <c r="A24" s="559" t="s">
        <v>142</v>
      </c>
      <c r="B24" s="559" t="s">
        <v>2</v>
      </c>
      <c r="C24" s="523">
        <v>93572</v>
      </c>
      <c r="D24" s="561" t="s">
        <v>143</v>
      </c>
      <c r="E24" s="619" t="s">
        <v>144</v>
      </c>
      <c r="F24" s="563">
        <v>12</v>
      </c>
      <c r="G24" s="617">
        <v>8761.0400000000009</v>
      </c>
      <c r="H24" s="618">
        <v>105132.48000000001</v>
      </c>
      <c r="I24" s="618" t="s">
        <v>12</v>
      </c>
      <c r="J24" s="624">
        <v>10881.21168</v>
      </c>
      <c r="K24" s="192">
        <f>ROUND((IF(C24="","",F24*J24)),2)</f>
        <v>130574.54</v>
      </c>
      <c r="L24" s="250">
        <f>IF(C24="","",K24/$K$734)</f>
        <v>1.3146742878220178E-2</v>
      </c>
    </row>
    <row r="25" spans="1:12" s="3" customFormat="1">
      <c r="A25" s="559" t="s">
        <v>145</v>
      </c>
      <c r="B25" s="559" t="s">
        <v>2</v>
      </c>
      <c r="C25" s="523">
        <v>100321</v>
      </c>
      <c r="D25" s="561" t="s">
        <v>146</v>
      </c>
      <c r="E25" s="619" t="s">
        <v>144</v>
      </c>
      <c r="F25" s="563">
        <v>12</v>
      </c>
      <c r="G25" s="617">
        <v>6467.92</v>
      </c>
      <c r="H25" s="618">
        <v>77615.040000000008</v>
      </c>
      <c r="I25" s="618" t="s">
        <v>12</v>
      </c>
      <c r="J25" s="624">
        <v>8033.1566400000002</v>
      </c>
      <c r="K25" s="192">
        <f>ROUND((IF(C25="","",F25*J25)),2)</f>
        <v>96397.88</v>
      </c>
      <c r="L25" s="250">
        <f>IF(C25="","",K25/$K$734)</f>
        <v>9.7057063525977077E-3</v>
      </c>
    </row>
    <row r="26" spans="1:12" s="3" customFormat="1">
      <c r="A26" s="35" t="s">
        <v>37</v>
      </c>
      <c r="B26" s="64"/>
      <c r="C26" s="64"/>
      <c r="D26" s="36" t="s">
        <v>38</v>
      </c>
      <c r="E26" s="37"/>
      <c r="F26" s="38"/>
      <c r="G26" s="37" t="s">
        <v>34</v>
      </c>
      <c r="H26" s="39" t="str">
        <f t="shared" ref="H26:H27" si="0">IF(B26="","",F26*G26)</f>
        <v/>
      </c>
      <c r="I26" s="39"/>
      <c r="J26" s="39" t="str">
        <f t="shared" ref="J26" si="1">IF(E26="","",IF(I26=$G$4,(G26*(1+$H$4)),(G26*(1+$H$5))))</f>
        <v/>
      </c>
      <c r="K26" s="40">
        <f>SUM(K27:K27)</f>
        <v>2296.04</v>
      </c>
      <c r="L26" s="247">
        <f>SUM(L27:L27)</f>
        <v>2.311740674568615E-4</v>
      </c>
    </row>
    <row r="27" spans="1:12" s="3" customFormat="1" ht="60">
      <c r="A27" s="28" t="s">
        <v>147</v>
      </c>
      <c r="B27" s="28" t="s">
        <v>3</v>
      </c>
      <c r="C27" s="43" t="s">
        <v>148</v>
      </c>
      <c r="D27" s="193" t="s">
        <v>149</v>
      </c>
      <c r="E27" s="194" t="s">
        <v>150</v>
      </c>
      <c r="F27" s="195">
        <v>6</v>
      </c>
      <c r="G27" s="191">
        <v>308.11</v>
      </c>
      <c r="H27" s="192">
        <f t="shared" si="0"/>
        <v>1848.66</v>
      </c>
      <c r="I27" s="192" t="s">
        <v>12</v>
      </c>
      <c r="J27" s="192">
        <f t="shared" ref="J27" si="2">IF(E27="","",IF(I27=$G$4,(G27*(1+$H$4)),(G27*(1+$H$5))))</f>
        <v>382.67261999999999</v>
      </c>
      <c r="K27" s="192">
        <f t="shared" ref="K27" si="3">ROUND((IF(C27="","",F27*J27)),2)</f>
        <v>2296.04</v>
      </c>
      <c r="L27" s="250">
        <f>IF(C27="","",K27/$K$734)</f>
        <v>2.311740674568615E-4</v>
      </c>
    </row>
    <row r="28" spans="1:12" s="3" customFormat="1">
      <c r="A28" s="43" t="s">
        <v>151</v>
      </c>
      <c r="B28" s="120"/>
      <c r="C28" s="120"/>
      <c r="D28" s="245"/>
      <c r="E28" s="120"/>
      <c r="F28" s="243"/>
      <c r="G28" s="120" t="s">
        <v>34</v>
      </c>
      <c r="H28" s="244"/>
      <c r="I28" s="244"/>
      <c r="J28" s="244"/>
      <c r="K28" s="246"/>
      <c r="L28" s="251"/>
    </row>
    <row r="29" spans="1:12" s="3" customFormat="1">
      <c r="A29" s="32" t="s">
        <v>39</v>
      </c>
      <c r="B29" s="32" t="s">
        <v>34</v>
      </c>
      <c r="C29" s="32" t="s">
        <v>34</v>
      </c>
      <c r="D29" s="34" t="s">
        <v>40</v>
      </c>
      <c r="E29" s="33" t="s">
        <v>34</v>
      </c>
      <c r="F29" s="33"/>
      <c r="G29" s="29" t="s">
        <v>34</v>
      </c>
      <c r="H29" s="30"/>
      <c r="I29" s="30"/>
      <c r="J29" s="30"/>
      <c r="K29" s="31">
        <f>ROUND((K30),2)</f>
        <v>45822.35</v>
      </c>
      <c r="L29" s="249">
        <f>L30</f>
        <v>4.6135690275134218E-3</v>
      </c>
    </row>
    <row r="30" spans="1:12" s="3" customFormat="1">
      <c r="A30" s="35" t="s">
        <v>41</v>
      </c>
      <c r="B30" s="64" t="s">
        <v>34</v>
      </c>
      <c r="C30" s="64" t="s">
        <v>34</v>
      </c>
      <c r="D30" s="36" t="s">
        <v>42</v>
      </c>
      <c r="E30" s="37" t="s">
        <v>34</v>
      </c>
      <c r="F30" s="38"/>
      <c r="G30" s="37" t="s">
        <v>34</v>
      </c>
      <c r="H30" s="39"/>
      <c r="I30" s="39"/>
      <c r="J30" s="39"/>
      <c r="K30" s="40">
        <f>SUM(K31:K32)</f>
        <v>45822.350000000006</v>
      </c>
      <c r="L30" s="247">
        <f>SUM(L31:L32)</f>
        <v>4.6135690275134218E-3</v>
      </c>
    </row>
    <row r="31" spans="1:12" s="3" customFormat="1">
      <c r="A31" s="28" t="s">
        <v>152</v>
      </c>
      <c r="B31" s="28" t="s">
        <v>3</v>
      </c>
      <c r="C31" s="43" t="s">
        <v>153</v>
      </c>
      <c r="D31" s="193" t="s">
        <v>154</v>
      </c>
      <c r="E31" s="194" t="s">
        <v>144</v>
      </c>
      <c r="F31" s="195">
        <v>12</v>
      </c>
      <c r="G31" s="191">
        <v>2194.5</v>
      </c>
      <c r="H31" s="192">
        <f>IF(B31="","",F31*G31)</f>
        <v>26334</v>
      </c>
      <c r="I31" s="192" t="s">
        <v>12</v>
      </c>
      <c r="J31" s="192">
        <f>IF(E31="","",IF(I31=$G$4,(G31*(1+$H$4)),(G31*(1+$H$5))))</f>
        <v>2725.569</v>
      </c>
      <c r="K31" s="192">
        <f>ROUND((IF(C31="","",F31*J31)),2)</f>
        <v>32706.83</v>
      </c>
      <c r="L31" s="250">
        <f>IF(C31="","",K31/$K$734)</f>
        <v>3.2930484332677574E-3</v>
      </c>
    </row>
    <row r="32" spans="1:12" s="3" customFormat="1">
      <c r="A32" s="28" t="s">
        <v>155</v>
      </c>
      <c r="B32" s="28" t="s">
        <v>4</v>
      </c>
      <c r="C32" s="43" t="s">
        <v>156</v>
      </c>
      <c r="D32" s="193" t="s">
        <v>157</v>
      </c>
      <c r="E32" s="194" t="s">
        <v>158</v>
      </c>
      <c r="F32" s="195">
        <v>32</v>
      </c>
      <c r="G32" s="191">
        <v>330</v>
      </c>
      <c r="H32" s="192">
        <f>IF(B32="","",F32*G32)</f>
        <v>10560</v>
      </c>
      <c r="I32" s="192" t="s">
        <v>12</v>
      </c>
      <c r="J32" s="192">
        <f>IF(E32="","",IF(I32=$G$4,(G32*(1+$H$4)),(G32*(1+$H$5))))</f>
        <v>409.86</v>
      </c>
      <c r="K32" s="192">
        <f>ROUND((IF(C32="","",F32*J32)),2)</f>
        <v>13115.52</v>
      </c>
      <c r="L32" s="250">
        <f>IF(C32="","",K32/$K$734)</f>
        <v>1.3205205942456648E-3</v>
      </c>
    </row>
    <row r="33" spans="1:12" s="3" customFormat="1">
      <c r="A33" s="43" t="s">
        <v>151</v>
      </c>
      <c r="B33" s="120"/>
      <c r="C33" s="120"/>
      <c r="D33" s="245"/>
      <c r="E33" s="120"/>
      <c r="F33" s="243"/>
      <c r="G33" s="120" t="s">
        <v>34</v>
      </c>
      <c r="H33" s="244"/>
      <c r="I33" s="244"/>
      <c r="J33" s="244"/>
      <c r="K33" s="246"/>
      <c r="L33" s="251"/>
    </row>
    <row r="34" spans="1:12" s="3" customFormat="1">
      <c r="A34" s="32" t="s">
        <v>43</v>
      </c>
      <c r="B34" s="32" t="s">
        <v>34</v>
      </c>
      <c r="C34" s="32" t="s">
        <v>34</v>
      </c>
      <c r="D34" s="34" t="s">
        <v>44</v>
      </c>
      <c r="E34" s="33" t="s">
        <v>34</v>
      </c>
      <c r="F34" s="33"/>
      <c r="G34" s="29" t="s">
        <v>34</v>
      </c>
      <c r="H34" s="30"/>
      <c r="I34" s="30"/>
      <c r="J34" s="30"/>
      <c r="K34" s="31">
        <f>ROUND((K35),2)</f>
        <v>304901.09999999998</v>
      </c>
      <c r="L34" s="249">
        <f>L35</f>
        <v>3.0698606060465532E-2</v>
      </c>
    </row>
    <row r="35" spans="1:12" s="3" customFormat="1">
      <c r="A35" s="35" t="s">
        <v>45</v>
      </c>
      <c r="B35" s="64" t="s">
        <v>34</v>
      </c>
      <c r="C35" s="64" t="s">
        <v>34</v>
      </c>
      <c r="D35" s="36" t="s">
        <v>46</v>
      </c>
      <c r="E35" s="37" t="s">
        <v>34</v>
      </c>
      <c r="F35" s="38"/>
      <c r="G35" s="37" t="s">
        <v>34</v>
      </c>
      <c r="H35" s="39"/>
      <c r="I35" s="39"/>
      <c r="J35" s="39"/>
      <c r="K35" s="40">
        <f>SUM(K36:K63)</f>
        <v>304901.09999999998</v>
      </c>
      <c r="L35" s="247">
        <f>SUM(L36:L63)</f>
        <v>3.0698606060465532E-2</v>
      </c>
    </row>
    <row r="36" spans="1:12" s="3" customFormat="1" ht="30">
      <c r="A36" s="28" t="s">
        <v>159</v>
      </c>
      <c r="B36" s="28" t="s">
        <v>160</v>
      </c>
      <c r="C36" s="43" t="s">
        <v>161</v>
      </c>
      <c r="D36" s="193" t="s">
        <v>162</v>
      </c>
      <c r="E36" s="194" t="s">
        <v>163</v>
      </c>
      <c r="F36" s="195">
        <v>137</v>
      </c>
      <c r="G36" s="191">
        <f>'Composições - CCU'!F20</f>
        <v>43.035685000000001</v>
      </c>
      <c r="H36" s="192">
        <f t="shared" ref="H36:H63" si="4">IF(B36="","",F36*G36)</f>
        <v>5895.8888450000004</v>
      </c>
      <c r="I36" s="192" t="s">
        <v>12</v>
      </c>
      <c r="J36" s="192">
        <f>IF(E36="","",IF(I36=$G$4,(G36*(1+$H$4)),(G36*(1+$H$5))))</f>
        <v>53.450320769999998</v>
      </c>
      <c r="K36" s="192">
        <f>ROUND((IF(C36="","",F36*J36)),2)</f>
        <v>7322.69</v>
      </c>
      <c r="L36" s="250">
        <f t="shared" ref="L36:L63" si="5">IF(C36="","",K36/$K$734)</f>
        <v>7.3727636801871265E-4</v>
      </c>
    </row>
    <row r="37" spans="1:12" s="3" customFormat="1">
      <c r="A37" s="28" t="s">
        <v>164</v>
      </c>
      <c r="B37" s="28" t="s">
        <v>4</v>
      </c>
      <c r="C37" s="43" t="s">
        <v>165</v>
      </c>
      <c r="D37" s="193" t="s">
        <v>166</v>
      </c>
      <c r="E37" s="194" t="s">
        <v>167</v>
      </c>
      <c r="F37" s="195">
        <v>45</v>
      </c>
      <c r="G37" s="191">
        <v>15.8</v>
      </c>
      <c r="H37" s="192">
        <f t="shared" si="4"/>
        <v>711</v>
      </c>
      <c r="I37" s="192" t="s">
        <v>12</v>
      </c>
      <c r="J37" s="192">
        <f>IF(E37="","",IF(I37=$G$4,(G37*(1+$H$4)),(G37*(1+$H$5))))</f>
        <v>19.6236</v>
      </c>
      <c r="K37" s="192">
        <f>ROUND((IF(C37="","",F37*J37)),2)</f>
        <v>883.06</v>
      </c>
      <c r="L37" s="250">
        <f t="shared" si="5"/>
        <v>8.8909850006296101E-5</v>
      </c>
    </row>
    <row r="38" spans="1:12" s="3" customFormat="1">
      <c r="A38" s="28" t="s">
        <v>168</v>
      </c>
      <c r="B38" s="28" t="s">
        <v>160</v>
      </c>
      <c r="C38" s="43" t="s">
        <v>169</v>
      </c>
      <c r="D38" s="193" t="s">
        <v>170</v>
      </c>
      <c r="E38" s="194" t="s">
        <v>167</v>
      </c>
      <c r="F38" s="195">
        <v>7</v>
      </c>
      <c r="G38" s="191">
        <f>'Composições - CCU'!F43</f>
        <v>471.665685</v>
      </c>
      <c r="H38" s="192">
        <f t="shared" si="4"/>
        <v>3301.659795</v>
      </c>
      <c r="I38" s="192" t="s">
        <v>12</v>
      </c>
      <c r="J38" s="192">
        <f t="shared" ref="J38:J63" si="6">IF(E38="","",IF(I38=$G$4,(G38*(1+$H$4)),(G38*(1+$H$5))))</f>
        <v>585.80878077</v>
      </c>
      <c r="K38" s="192">
        <f t="shared" ref="K38:K63" si="7">ROUND((IF(C38="","",F38*J38)),2)</f>
        <v>4100.66</v>
      </c>
      <c r="L38" s="250">
        <f t="shared" si="5"/>
        <v>4.1287009436144566E-4</v>
      </c>
    </row>
    <row r="39" spans="1:12" s="3" customFormat="1">
      <c r="A39" s="28" t="s">
        <v>171</v>
      </c>
      <c r="B39" s="28" t="s">
        <v>160</v>
      </c>
      <c r="C39" s="43" t="s">
        <v>172</v>
      </c>
      <c r="D39" s="193" t="s">
        <v>173</v>
      </c>
      <c r="E39" s="194" t="s">
        <v>167</v>
      </c>
      <c r="F39" s="195">
        <v>29</v>
      </c>
      <c r="G39" s="191">
        <f>'Composições - CCU'!F66</f>
        <v>101.305685</v>
      </c>
      <c r="H39" s="192">
        <f t="shared" si="4"/>
        <v>2937.864865</v>
      </c>
      <c r="I39" s="192" t="s">
        <v>12</v>
      </c>
      <c r="J39" s="192">
        <f t="shared" si="6"/>
        <v>125.82166076999999</v>
      </c>
      <c r="K39" s="192">
        <f t="shared" si="7"/>
        <v>3648.83</v>
      </c>
      <c r="L39" s="250">
        <f t="shared" si="5"/>
        <v>3.673781260599205E-4</v>
      </c>
    </row>
    <row r="40" spans="1:12" s="3" customFormat="1">
      <c r="A40" s="28" t="s">
        <v>174</v>
      </c>
      <c r="B40" s="28" t="s">
        <v>3</v>
      </c>
      <c r="C40" s="43" t="s">
        <v>175</v>
      </c>
      <c r="D40" s="193" t="s">
        <v>176</v>
      </c>
      <c r="E40" s="194" t="s">
        <v>167</v>
      </c>
      <c r="F40" s="195">
        <v>20</v>
      </c>
      <c r="G40" s="191">
        <v>12.89</v>
      </c>
      <c r="H40" s="192">
        <f t="shared" si="4"/>
        <v>257.8</v>
      </c>
      <c r="I40" s="192" t="s">
        <v>12</v>
      </c>
      <c r="J40" s="192">
        <f t="shared" si="6"/>
        <v>16.00938</v>
      </c>
      <c r="K40" s="192">
        <f t="shared" si="7"/>
        <v>320.19</v>
      </c>
      <c r="L40" s="250">
        <f t="shared" si="5"/>
        <v>3.2237950845373984E-5</v>
      </c>
    </row>
    <row r="41" spans="1:12" s="3" customFormat="1" ht="30">
      <c r="A41" s="28" t="s">
        <v>177</v>
      </c>
      <c r="B41" s="28" t="s">
        <v>3</v>
      </c>
      <c r="C41" s="43" t="s">
        <v>178</v>
      </c>
      <c r="D41" s="193" t="s">
        <v>179</v>
      </c>
      <c r="E41" s="194" t="s">
        <v>180</v>
      </c>
      <c r="F41" s="195">
        <v>513</v>
      </c>
      <c r="G41" s="191">
        <v>54.15</v>
      </c>
      <c r="H41" s="192">
        <f t="shared" si="4"/>
        <v>27778.95</v>
      </c>
      <c r="I41" s="192" t="s">
        <v>12</v>
      </c>
      <c r="J41" s="192">
        <f t="shared" si="6"/>
        <v>67.254300000000001</v>
      </c>
      <c r="K41" s="192">
        <f t="shared" si="7"/>
        <v>34501.46</v>
      </c>
      <c r="L41" s="250">
        <f t="shared" si="5"/>
        <v>3.4737386288567311E-3</v>
      </c>
    </row>
    <row r="42" spans="1:12" s="3" customFormat="1" ht="30">
      <c r="A42" s="28" t="s">
        <v>181</v>
      </c>
      <c r="B42" s="28" t="s">
        <v>3</v>
      </c>
      <c r="C42" s="43" t="s">
        <v>182</v>
      </c>
      <c r="D42" s="193" t="s">
        <v>183</v>
      </c>
      <c r="E42" s="194" t="s">
        <v>180</v>
      </c>
      <c r="F42" s="195">
        <v>1635</v>
      </c>
      <c r="G42" s="191">
        <v>16.260000000000002</v>
      </c>
      <c r="H42" s="192">
        <f t="shared" si="4"/>
        <v>26585.100000000002</v>
      </c>
      <c r="I42" s="192" t="s">
        <v>12</v>
      </c>
      <c r="J42" s="192">
        <f t="shared" si="6"/>
        <v>20.194920000000003</v>
      </c>
      <c r="K42" s="192">
        <f t="shared" si="7"/>
        <v>33018.69</v>
      </c>
      <c r="L42" s="250">
        <f t="shared" si="5"/>
        <v>3.3244476879310458E-3</v>
      </c>
    </row>
    <row r="43" spans="1:12" s="3" customFormat="1">
      <c r="A43" s="28" t="s">
        <v>184</v>
      </c>
      <c r="B43" s="28" t="s">
        <v>2</v>
      </c>
      <c r="C43" s="43">
        <v>104754</v>
      </c>
      <c r="D43" s="193" t="s">
        <v>185</v>
      </c>
      <c r="E43" s="194" t="s">
        <v>167</v>
      </c>
      <c r="F43" s="195">
        <v>149</v>
      </c>
      <c r="G43" s="191">
        <v>42.7</v>
      </c>
      <c r="H43" s="192">
        <f t="shared" si="4"/>
        <v>6362.3</v>
      </c>
      <c r="I43" s="192" t="s">
        <v>12</v>
      </c>
      <c r="J43" s="192">
        <f t="shared" si="6"/>
        <v>53.0334</v>
      </c>
      <c r="K43" s="192">
        <f t="shared" si="7"/>
        <v>7901.98</v>
      </c>
      <c r="L43" s="250">
        <f t="shared" si="5"/>
        <v>7.9560149542811547E-4</v>
      </c>
    </row>
    <row r="44" spans="1:12" s="3" customFormat="1">
      <c r="A44" s="28" t="s">
        <v>186</v>
      </c>
      <c r="B44" s="28" t="s">
        <v>2</v>
      </c>
      <c r="C44" s="43">
        <v>104746</v>
      </c>
      <c r="D44" s="193" t="s">
        <v>187</v>
      </c>
      <c r="E44" s="194" t="s">
        <v>167</v>
      </c>
      <c r="F44" s="195">
        <v>28</v>
      </c>
      <c r="G44" s="191">
        <v>28.26</v>
      </c>
      <c r="H44" s="192">
        <f t="shared" si="4"/>
        <v>791.28000000000009</v>
      </c>
      <c r="I44" s="192" t="s">
        <v>12</v>
      </c>
      <c r="J44" s="192">
        <f t="shared" si="6"/>
        <v>35.09892</v>
      </c>
      <c r="K44" s="192">
        <f t="shared" si="7"/>
        <v>982.77</v>
      </c>
      <c r="L44" s="250">
        <f t="shared" si="5"/>
        <v>9.8949033237478339E-5</v>
      </c>
    </row>
    <row r="45" spans="1:12" s="3" customFormat="1" ht="30">
      <c r="A45" s="28" t="s">
        <v>188</v>
      </c>
      <c r="B45" s="28" t="s">
        <v>3</v>
      </c>
      <c r="C45" s="43" t="s">
        <v>189</v>
      </c>
      <c r="D45" s="193" t="s">
        <v>190</v>
      </c>
      <c r="E45" s="194" t="s">
        <v>167</v>
      </c>
      <c r="F45" s="195">
        <v>9</v>
      </c>
      <c r="G45" s="191">
        <v>103.31</v>
      </c>
      <c r="H45" s="192">
        <f t="shared" si="4"/>
        <v>929.79</v>
      </c>
      <c r="I45" s="192" t="s">
        <v>12</v>
      </c>
      <c r="J45" s="192">
        <f t="shared" si="6"/>
        <v>128.31102000000001</v>
      </c>
      <c r="K45" s="192">
        <f t="shared" si="7"/>
        <v>1154.8</v>
      </c>
      <c r="L45" s="250">
        <f t="shared" si="5"/>
        <v>1.1626966999668283E-4</v>
      </c>
    </row>
    <row r="46" spans="1:12" s="3" customFormat="1">
      <c r="A46" s="28" t="s">
        <v>191</v>
      </c>
      <c r="B46" s="28" t="s">
        <v>2</v>
      </c>
      <c r="C46" s="43">
        <v>96985</v>
      </c>
      <c r="D46" s="193" t="s">
        <v>192</v>
      </c>
      <c r="E46" s="194" t="s">
        <v>167</v>
      </c>
      <c r="F46" s="195">
        <v>30</v>
      </c>
      <c r="G46" s="191">
        <v>97.63</v>
      </c>
      <c r="H46" s="192">
        <f t="shared" si="4"/>
        <v>2928.8999999999996</v>
      </c>
      <c r="I46" s="192" t="s">
        <v>12</v>
      </c>
      <c r="J46" s="192">
        <f t="shared" si="6"/>
        <v>121.25645999999999</v>
      </c>
      <c r="K46" s="192">
        <f t="shared" si="7"/>
        <v>3637.69</v>
      </c>
      <c r="L46" s="250">
        <f t="shared" si="5"/>
        <v>3.6625650835662727E-4</v>
      </c>
    </row>
    <row r="47" spans="1:12" s="3" customFormat="1" ht="30">
      <c r="A47" s="28" t="s">
        <v>193</v>
      </c>
      <c r="B47" s="28" t="s">
        <v>2</v>
      </c>
      <c r="C47" s="43">
        <v>91856</v>
      </c>
      <c r="D47" s="193" t="s">
        <v>194</v>
      </c>
      <c r="E47" s="194" t="s">
        <v>180</v>
      </c>
      <c r="F47" s="195">
        <v>85.8</v>
      </c>
      <c r="G47" s="191">
        <v>12.24</v>
      </c>
      <c r="H47" s="192">
        <f t="shared" si="4"/>
        <v>1050.192</v>
      </c>
      <c r="I47" s="192" t="s">
        <v>12</v>
      </c>
      <c r="J47" s="192">
        <f t="shared" si="6"/>
        <v>15.20208</v>
      </c>
      <c r="K47" s="192">
        <f t="shared" si="7"/>
        <v>1304.3399999999999</v>
      </c>
      <c r="L47" s="250">
        <f t="shared" si="5"/>
        <v>1.3132592774807176E-4</v>
      </c>
    </row>
    <row r="48" spans="1:12" s="3" customFormat="1" ht="30">
      <c r="A48" s="28" t="s">
        <v>195</v>
      </c>
      <c r="B48" s="28" t="s">
        <v>2</v>
      </c>
      <c r="C48" s="43">
        <v>91864</v>
      </c>
      <c r="D48" s="193" t="s">
        <v>196</v>
      </c>
      <c r="E48" s="194" t="s">
        <v>180</v>
      </c>
      <c r="F48" s="195">
        <v>159</v>
      </c>
      <c r="G48" s="191">
        <v>15.27</v>
      </c>
      <c r="H48" s="192">
        <f t="shared" si="4"/>
        <v>2427.9299999999998</v>
      </c>
      <c r="I48" s="192" t="s">
        <v>12</v>
      </c>
      <c r="J48" s="192">
        <f t="shared" si="6"/>
        <v>18.965339999999998</v>
      </c>
      <c r="K48" s="192">
        <f t="shared" si="7"/>
        <v>3015.49</v>
      </c>
      <c r="L48" s="250">
        <f t="shared" si="5"/>
        <v>3.0361103842942248E-4</v>
      </c>
    </row>
    <row r="49" spans="1:12" s="3" customFormat="1" ht="30">
      <c r="A49" s="28" t="s">
        <v>197</v>
      </c>
      <c r="B49" s="28" t="s">
        <v>3</v>
      </c>
      <c r="C49" s="43" t="s">
        <v>198</v>
      </c>
      <c r="D49" s="193" t="s">
        <v>199</v>
      </c>
      <c r="E49" s="194" t="s">
        <v>167</v>
      </c>
      <c r="F49" s="195">
        <v>5</v>
      </c>
      <c r="G49" s="191">
        <v>41.8</v>
      </c>
      <c r="H49" s="192">
        <f t="shared" si="4"/>
        <v>209</v>
      </c>
      <c r="I49" s="192" t="s">
        <v>12</v>
      </c>
      <c r="J49" s="192">
        <f t="shared" si="6"/>
        <v>51.915599999999998</v>
      </c>
      <c r="K49" s="192">
        <f t="shared" si="7"/>
        <v>259.58</v>
      </c>
      <c r="L49" s="250">
        <f t="shared" si="5"/>
        <v>2.6135504795409533E-5</v>
      </c>
    </row>
    <row r="50" spans="1:12" s="3" customFormat="1" ht="30">
      <c r="A50" s="28" t="s">
        <v>200</v>
      </c>
      <c r="B50" s="28" t="s">
        <v>3</v>
      </c>
      <c r="C50" s="43" t="s">
        <v>201</v>
      </c>
      <c r="D50" s="193" t="s">
        <v>202</v>
      </c>
      <c r="E50" s="194" t="s">
        <v>167</v>
      </c>
      <c r="F50" s="195">
        <v>20</v>
      </c>
      <c r="G50" s="191">
        <v>44.78</v>
      </c>
      <c r="H50" s="192">
        <f t="shared" si="4"/>
        <v>895.6</v>
      </c>
      <c r="I50" s="192" t="s">
        <v>12</v>
      </c>
      <c r="J50" s="192">
        <f t="shared" si="6"/>
        <v>55.616759999999999</v>
      </c>
      <c r="K50" s="192">
        <f t="shared" si="7"/>
        <v>1112.3399999999999</v>
      </c>
      <c r="L50" s="250">
        <f t="shared" si="5"/>
        <v>1.1199463519580029E-4</v>
      </c>
    </row>
    <row r="51" spans="1:12" s="3" customFormat="1">
      <c r="A51" s="28" t="s">
        <v>203</v>
      </c>
      <c r="B51" s="28" t="s">
        <v>3</v>
      </c>
      <c r="C51" s="43" t="s">
        <v>204</v>
      </c>
      <c r="D51" s="193" t="s">
        <v>205</v>
      </c>
      <c r="E51" s="194" t="s">
        <v>167</v>
      </c>
      <c r="F51" s="195">
        <v>25</v>
      </c>
      <c r="G51" s="191">
        <v>6.56</v>
      </c>
      <c r="H51" s="192">
        <f t="shared" si="4"/>
        <v>164</v>
      </c>
      <c r="I51" s="192" t="s">
        <v>12</v>
      </c>
      <c r="J51" s="192">
        <f t="shared" si="6"/>
        <v>8.1475200000000001</v>
      </c>
      <c r="K51" s="192">
        <f t="shared" si="7"/>
        <v>203.69</v>
      </c>
      <c r="L51" s="250">
        <f t="shared" si="5"/>
        <v>2.0508286354021757E-5</v>
      </c>
    </row>
    <row r="52" spans="1:12" s="3" customFormat="1" ht="30">
      <c r="A52" s="28" t="s">
        <v>206</v>
      </c>
      <c r="B52" s="28" t="s">
        <v>3</v>
      </c>
      <c r="C52" s="43" t="s">
        <v>207</v>
      </c>
      <c r="D52" s="193" t="s">
        <v>208</v>
      </c>
      <c r="E52" s="194" t="s">
        <v>180</v>
      </c>
      <c r="F52" s="195">
        <v>2525</v>
      </c>
      <c r="G52" s="191">
        <v>17.34</v>
      </c>
      <c r="H52" s="192">
        <f t="shared" si="4"/>
        <v>43783.5</v>
      </c>
      <c r="I52" s="192" t="s">
        <v>12</v>
      </c>
      <c r="J52" s="192">
        <f t="shared" si="6"/>
        <v>21.536280000000001</v>
      </c>
      <c r="K52" s="192">
        <f t="shared" si="7"/>
        <v>54379.11</v>
      </c>
      <c r="L52" s="250">
        <f t="shared" si="5"/>
        <v>5.4750962715737058E-3</v>
      </c>
    </row>
    <row r="53" spans="1:12" s="3" customFormat="1" ht="30">
      <c r="A53" s="28" t="s">
        <v>209</v>
      </c>
      <c r="B53" s="28" t="s">
        <v>2</v>
      </c>
      <c r="C53" s="43">
        <v>91863</v>
      </c>
      <c r="D53" s="193" t="s">
        <v>210</v>
      </c>
      <c r="E53" s="625" t="s">
        <v>180</v>
      </c>
      <c r="F53" s="195">
        <v>1958</v>
      </c>
      <c r="G53" s="191">
        <v>11.26</v>
      </c>
      <c r="H53" s="192">
        <f t="shared" si="4"/>
        <v>22047.079999999998</v>
      </c>
      <c r="I53" s="192" t="s">
        <v>12</v>
      </c>
      <c r="J53" s="192">
        <f t="shared" si="6"/>
        <v>13.984919999999999</v>
      </c>
      <c r="K53" s="192">
        <f t="shared" si="7"/>
        <v>27382.47</v>
      </c>
      <c r="L53" s="250">
        <f t="shared" si="5"/>
        <v>2.7569715540301941E-3</v>
      </c>
    </row>
    <row r="54" spans="1:12" s="3" customFormat="1" ht="30">
      <c r="A54" s="28" t="s">
        <v>211</v>
      </c>
      <c r="B54" s="28" t="s">
        <v>2</v>
      </c>
      <c r="C54" s="43">
        <v>91873</v>
      </c>
      <c r="D54" s="193" t="s">
        <v>212</v>
      </c>
      <c r="E54" s="625" t="s">
        <v>180</v>
      </c>
      <c r="F54" s="195">
        <v>89</v>
      </c>
      <c r="G54" s="191">
        <v>22.04</v>
      </c>
      <c r="H54" s="192">
        <f t="shared" si="4"/>
        <v>1961.56</v>
      </c>
      <c r="I54" s="192" t="s">
        <v>12</v>
      </c>
      <c r="J54" s="192">
        <f t="shared" si="6"/>
        <v>27.37368</v>
      </c>
      <c r="K54" s="192">
        <f t="shared" si="7"/>
        <v>2436.2600000000002</v>
      </c>
      <c r="L54" s="250">
        <f t="shared" si="5"/>
        <v>2.4529195204894231E-4</v>
      </c>
    </row>
    <row r="55" spans="1:12" s="3" customFormat="1" ht="30">
      <c r="A55" s="28" t="s">
        <v>213</v>
      </c>
      <c r="B55" s="28" t="s">
        <v>3</v>
      </c>
      <c r="C55" s="43" t="s">
        <v>214</v>
      </c>
      <c r="D55" s="193" t="s">
        <v>215</v>
      </c>
      <c r="E55" s="625" t="s">
        <v>180</v>
      </c>
      <c r="F55" s="195">
        <v>5</v>
      </c>
      <c r="G55" s="191">
        <v>37.58</v>
      </c>
      <c r="H55" s="192">
        <f t="shared" si="4"/>
        <v>187.89999999999998</v>
      </c>
      <c r="I55" s="192" t="s">
        <v>12</v>
      </c>
      <c r="J55" s="192">
        <f t="shared" si="6"/>
        <v>46.67436</v>
      </c>
      <c r="K55" s="192">
        <f t="shared" si="7"/>
        <v>233.37</v>
      </c>
      <c r="L55" s="250">
        <f t="shared" si="5"/>
        <v>2.3496581994393725E-5</v>
      </c>
    </row>
    <row r="56" spans="1:12" s="3" customFormat="1" ht="30">
      <c r="A56" s="28" t="s">
        <v>216</v>
      </c>
      <c r="B56" s="28" t="s">
        <v>3</v>
      </c>
      <c r="C56" s="43" t="s">
        <v>217</v>
      </c>
      <c r="D56" s="193" t="s">
        <v>218</v>
      </c>
      <c r="E56" s="625" t="s">
        <v>180</v>
      </c>
      <c r="F56" s="195">
        <v>29</v>
      </c>
      <c r="G56" s="191">
        <v>48.01</v>
      </c>
      <c r="H56" s="192">
        <f t="shared" si="4"/>
        <v>1392.29</v>
      </c>
      <c r="I56" s="192" t="s">
        <v>12</v>
      </c>
      <c r="J56" s="192">
        <f t="shared" si="6"/>
        <v>59.628419999999998</v>
      </c>
      <c r="K56" s="192">
        <f t="shared" si="7"/>
        <v>1729.22</v>
      </c>
      <c r="L56" s="250">
        <f t="shared" si="5"/>
        <v>1.7410446722520255E-4</v>
      </c>
    </row>
    <row r="57" spans="1:12" s="3" customFormat="1" ht="30">
      <c r="A57" s="28" t="s">
        <v>219</v>
      </c>
      <c r="B57" s="28" t="s">
        <v>3</v>
      </c>
      <c r="C57" s="43" t="s">
        <v>220</v>
      </c>
      <c r="D57" s="193" t="s">
        <v>221</v>
      </c>
      <c r="E57" s="194" t="s">
        <v>180</v>
      </c>
      <c r="F57" s="195">
        <v>393</v>
      </c>
      <c r="G57" s="191">
        <v>25.51</v>
      </c>
      <c r="H57" s="192">
        <f t="shared" si="4"/>
        <v>10025.43</v>
      </c>
      <c r="I57" s="192" t="s">
        <v>12</v>
      </c>
      <c r="J57" s="192">
        <f t="shared" si="6"/>
        <v>31.683420000000002</v>
      </c>
      <c r="K57" s="192">
        <f t="shared" si="7"/>
        <v>12451.58</v>
      </c>
      <c r="L57" s="250">
        <f t="shared" si="5"/>
        <v>1.2536725818646484E-3</v>
      </c>
    </row>
    <row r="58" spans="1:12" s="3" customFormat="1">
      <c r="A58" s="28" t="s">
        <v>222</v>
      </c>
      <c r="B58" s="28" t="s">
        <v>3</v>
      </c>
      <c r="C58" s="43" t="s">
        <v>223</v>
      </c>
      <c r="D58" s="193" t="s">
        <v>224</v>
      </c>
      <c r="E58" s="194" t="s">
        <v>180</v>
      </c>
      <c r="F58" s="195">
        <v>386</v>
      </c>
      <c r="G58" s="191">
        <v>28.62</v>
      </c>
      <c r="H58" s="192">
        <f t="shared" si="4"/>
        <v>11047.32</v>
      </c>
      <c r="I58" s="192" t="s">
        <v>12</v>
      </c>
      <c r="J58" s="192">
        <f t="shared" si="6"/>
        <v>35.546039999999998</v>
      </c>
      <c r="K58" s="192">
        <f t="shared" si="7"/>
        <v>13720.77</v>
      </c>
      <c r="L58" s="250">
        <f t="shared" si="5"/>
        <v>1.3814594735022394E-3</v>
      </c>
    </row>
    <row r="59" spans="1:12" s="3" customFormat="1" ht="30">
      <c r="A59" s="28" t="s">
        <v>225</v>
      </c>
      <c r="B59" s="28" t="s">
        <v>3</v>
      </c>
      <c r="C59" s="43" t="s">
        <v>226</v>
      </c>
      <c r="D59" s="193" t="s">
        <v>227</v>
      </c>
      <c r="E59" s="194" t="s">
        <v>167</v>
      </c>
      <c r="F59" s="195">
        <v>117</v>
      </c>
      <c r="G59" s="191">
        <v>31.89</v>
      </c>
      <c r="H59" s="192">
        <f t="shared" si="4"/>
        <v>3731.13</v>
      </c>
      <c r="I59" s="192" t="s">
        <v>12</v>
      </c>
      <c r="J59" s="192">
        <f t="shared" si="6"/>
        <v>39.607379999999999</v>
      </c>
      <c r="K59" s="192">
        <f t="shared" si="7"/>
        <v>4634.0600000000004</v>
      </c>
      <c r="L59" s="250">
        <f t="shared" si="5"/>
        <v>4.6657484148322488E-4</v>
      </c>
    </row>
    <row r="60" spans="1:12" s="3" customFormat="1" ht="30">
      <c r="A60" s="28" t="s">
        <v>228</v>
      </c>
      <c r="B60" s="28" t="s">
        <v>3</v>
      </c>
      <c r="C60" s="43" t="s">
        <v>229</v>
      </c>
      <c r="D60" s="193" t="s">
        <v>230</v>
      </c>
      <c r="E60" s="194" t="s">
        <v>167</v>
      </c>
      <c r="F60" s="195">
        <v>64</v>
      </c>
      <c r="G60" s="191">
        <v>31.89</v>
      </c>
      <c r="H60" s="192">
        <f t="shared" si="4"/>
        <v>2040.96</v>
      </c>
      <c r="I60" s="192" t="s">
        <v>12</v>
      </c>
      <c r="J60" s="192">
        <f t="shared" si="6"/>
        <v>39.607379999999999</v>
      </c>
      <c r="K60" s="192">
        <f t="shared" si="7"/>
        <v>2534.87</v>
      </c>
      <c r="L60" s="250">
        <f t="shared" si="5"/>
        <v>2.552203830832104E-4</v>
      </c>
    </row>
    <row r="61" spans="1:12" s="3" customFormat="1" ht="30">
      <c r="A61" s="28" t="s">
        <v>231</v>
      </c>
      <c r="B61" s="28" t="s">
        <v>3</v>
      </c>
      <c r="C61" s="43" t="s">
        <v>232</v>
      </c>
      <c r="D61" s="193" t="s">
        <v>233</v>
      </c>
      <c r="E61" s="194" t="s">
        <v>167</v>
      </c>
      <c r="F61" s="195">
        <v>28</v>
      </c>
      <c r="G61" s="191">
        <v>33.81</v>
      </c>
      <c r="H61" s="192">
        <f t="shared" si="4"/>
        <v>946.68000000000006</v>
      </c>
      <c r="I61" s="192" t="s">
        <v>12</v>
      </c>
      <c r="J61" s="192">
        <f t="shared" si="6"/>
        <v>41.992020000000004</v>
      </c>
      <c r="K61" s="192">
        <f t="shared" si="7"/>
        <v>1175.78</v>
      </c>
      <c r="L61" s="250">
        <f t="shared" si="5"/>
        <v>1.1838201644328E-4</v>
      </c>
    </row>
    <row r="62" spans="1:12" s="3" customFormat="1" ht="30">
      <c r="A62" s="28" t="s">
        <v>234</v>
      </c>
      <c r="B62" s="28" t="s">
        <v>3</v>
      </c>
      <c r="C62" s="43" t="s">
        <v>232</v>
      </c>
      <c r="D62" s="193" t="s">
        <v>233</v>
      </c>
      <c r="E62" s="194" t="s">
        <v>167</v>
      </c>
      <c r="F62" s="195">
        <v>1</v>
      </c>
      <c r="G62" s="191">
        <v>33.81</v>
      </c>
      <c r="H62" s="192">
        <f t="shared" si="4"/>
        <v>33.81</v>
      </c>
      <c r="I62" s="192" t="s">
        <v>12</v>
      </c>
      <c r="J62" s="192">
        <f t="shared" si="6"/>
        <v>41.992020000000004</v>
      </c>
      <c r="K62" s="192">
        <f t="shared" si="7"/>
        <v>41.99</v>
      </c>
      <c r="L62" s="250">
        <f t="shared" si="5"/>
        <v>4.2277134076556224E-6</v>
      </c>
    </row>
    <row r="63" spans="1:12" s="3" customFormat="1" ht="30">
      <c r="A63" s="28" t="s">
        <v>235</v>
      </c>
      <c r="B63" s="28" t="s">
        <v>160</v>
      </c>
      <c r="C63" s="43" t="s">
        <v>236</v>
      </c>
      <c r="D63" s="193" t="s">
        <v>237</v>
      </c>
      <c r="E63" s="194" t="s">
        <v>167</v>
      </c>
      <c r="F63" s="195">
        <v>144</v>
      </c>
      <c r="G63" s="191">
        <f>'Composições - CCU'!F89</f>
        <v>451.854990208</v>
      </c>
      <c r="H63" s="192">
        <f t="shared" si="4"/>
        <v>65067.118589951999</v>
      </c>
      <c r="I63" s="192" t="s">
        <v>12</v>
      </c>
      <c r="J63" s="192">
        <f t="shared" si="6"/>
        <v>561.20389783833605</v>
      </c>
      <c r="K63" s="192">
        <f t="shared" si="7"/>
        <v>80813.36</v>
      </c>
      <c r="L63" s="250">
        <f t="shared" si="5"/>
        <v>8.1365974181876761E-3</v>
      </c>
    </row>
    <row r="64" spans="1:12" s="3" customFormat="1">
      <c r="A64" s="43" t="s">
        <v>151</v>
      </c>
      <c r="B64" s="120"/>
      <c r="C64" s="120"/>
      <c r="D64" s="245"/>
      <c r="E64" s="120"/>
      <c r="F64" s="243"/>
      <c r="G64" s="120"/>
      <c r="H64" s="244"/>
      <c r="I64" s="244"/>
      <c r="J64" s="244"/>
      <c r="K64" s="246"/>
      <c r="L64" s="251"/>
    </row>
    <row r="65" spans="1:13" s="3" customFormat="1">
      <c r="A65" s="32" t="s">
        <v>47</v>
      </c>
      <c r="B65" s="32" t="s">
        <v>34</v>
      </c>
      <c r="C65" s="32" t="s">
        <v>34</v>
      </c>
      <c r="D65" s="34" t="s">
        <v>48</v>
      </c>
      <c r="E65" s="33" t="s">
        <v>34</v>
      </c>
      <c r="F65" s="33"/>
      <c r="G65" s="29" t="s">
        <v>34</v>
      </c>
      <c r="H65" s="30"/>
      <c r="I65" s="30"/>
      <c r="J65" s="30"/>
      <c r="K65" s="31">
        <f>ROUND((K66),2)</f>
        <v>2382.65</v>
      </c>
      <c r="L65" s="249">
        <f>L66</f>
        <v>2.3989429270661271E-4</v>
      </c>
    </row>
    <row r="66" spans="1:13" s="3" customFormat="1">
      <c r="A66" s="35" t="s">
        <v>49</v>
      </c>
      <c r="B66" s="64" t="s">
        <v>34</v>
      </c>
      <c r="C66" s="64" t="s">
        <v>34</v>
      </c>
      <c r="D66" s="36" t="s">
        <v>50</v>
      </c>
      <c r="E66" s="37" t="s">
        <v>34</v>
      </c>
      <c r="F66" s="38"/>
      <c r="G66" s="37" t="s">
        <v>34</v>
      </c>
      <c r="H66" s="39"/>
      <c r="I66" s="39"/>
      <c r="J66" s="39"/>
      <c r="K66" s="40">
        <f>SUM(K67:K67)</f>
        <v>2382.65</v>
      </c>
      <c r="L66" s="247">
        <f>SUM(L67:L67)</f>
        <v>2.3989429270661271E-4</v>
      </c>
    </row>
    <row r="67" spans="1:13" s="3" customFormat="1">
      <c r="A67" s="28" t="s">
        <v>238</v>
      </c>
      <c r="B67" s="28" t="s">
        <v>160</v>
      </c>
      <c r="C67" s="43" t="s">
        <v>239</v>
      </c>
      <c r="D67" s="193" t="s">
        <v>240</v>
      </c>
      <c r="E67" s="194" t="s">
        <v>167</v>
      </c>
      <c r="F67" s="195">
        <v>1</v>
      </c>
      <c r="G67" s="191">
        <f>'Composições - CCU'!F5510</f>
        <v>1918.3981818181819</v>
      </c>
      <c r="H67" s="192">
        <f>IF(B67="","",F67*G67)</f>
        <v>1918.3981818181819</v>
      </c>
      <c r="I67" s="192" t="s">
        <v>12</v>
      </c>
      <c r="J67" s="192">
        <f>IF(E67="","",IF(I67=$G$4,(G67*(1+$H$4)),(G67*(1+$H$5))))</f>
        <v>2382.6505418181819</v>
      </c>
      <c r="K67" s="192">
        <f>ROUND((IF(C67="","",F67*J67)),2)</f>
        <v>2382.65</v>
      </c>
      <c r="L67" s="250">
        <f>IF(C67="","",K67/$K$734)</f>
        <v>2.3989429270661271E-4</v>
      </c>
    </row>
    <row r="68" spans="1:13" s="3" customFormat="1">
      <c r="A68" s="43" t="s">
        <v>151</v>
      </c>
      <c r="B68" s="65"/>
      <c r="C68" s="65"/>
      <c r="D68" s="42"/>
      <c r="E68" s="44"/>
      <c r="F68" s="45"/>
      <c r="G68" s="274"/>
      <c r="H68" s="47"/>
      <c r="I68" s="47"/>
      <c r="J68" s="47"/>
      <c r="K68" s="47"/>
      <c r="L68" s="248"/>
    </row>
    <row r="69" spans="1:13" s="2" customFormat="1" ht="22.5" customHeight="1">
      <c r="A69" s="426">
        <v>2</v>
      </c>
      <c r="B69" s="427"/>
      <c r="C69" s="427"/>
      <c r="D69" s="435" t="s">
        <v>51</v>
      </c>
      <c r="E69" s="428"/>
      <c r="F69" s="429"/>
      <c r="G69" s="430"/>
      <c r="H69" s="430"/>
      <c r="I69" s="431"/>
      <c r="J69" s="430"/>
      <c r="K69" s="432">
        <f>K70+K109+K117+K143+K275</f>
        <v>4465350.7300000004</v>
      </c>
      <c r="L69" s="433">
        <f>L70+L109+L117+L143+L275</f>
        <v>0.44958854849025526</v>
      </c>
      <c r="M69" s="579"/>
    </row>
    <row r="70" spans="1:13" s="3" customFormat="1">
      <c r="A70" s="32" t="s">
        <v>52</v>
      </c>
      <c r="B70" s="32" t="s">
        <v>34</v>
      </c>
      <c r="C70" s="32" t="s">
        <v>34</v>
      </c>
      <c r="D70" s="34" t="s">
        <v>53</v>
      </c>
      <c r="E70" s="33" t="s">
        <v>34</v>
      </c>
      <c r="F70" s="33"/>
      <c r="G70" s="29"/>
      <c r="H70" s="30"/>
      <c r="I70" s="30"/>
      <c r="J70" s="30"/>
      <c r="K70" s="31">
        <f>ROUND((K71+K77+K82+K88+K106),2)</f>
        <v>206827.33</v>
      </c>
      <c r="L70" s="249">
        <f>L71+L77+L106+L82+L88</f>
        <v>2.0824164708516644E-2</v>
      </c>
    </row>
    <row r="71" spans="1:13" s="3" customFormat="1">
      <c r="A71" s="35" t="s">
        <v>54</v>
      </c>
      <c r="B71" s="64" t="s">
        <v>34</v>
      </c>
      <c r="C71" s="64" t="s">
        <v>34</v>
      </c>
      <c r="D71" s="36" t="s">
        <v>55</v>
      </c>
      <c r="E71" s="37" t="s">
        <v>34</v>
      </c>
      <c r="F71" s="38"/>
      <c r="G71" s="37"/>
      <c r="H71" s="39"/>
      <c r="I71" s="39"/>
      <c r="J71" s="39"/>
      <c r="K71" s="40">
        <f>SUM(K72:K76)</f>
        <v>18429.879999999997</v>
      </c>
      <c r="L71" s="247">
        <f>SUM(L72:L76)</f>
        <v>1.855590635329464E-3</v>
      </c>
    </row>
    <row r="72" spans="1:13" s="3" customFormat="1">
      <c r="A72" s="28" t="s">
        <v>241</v>
      </c>
      <c r="B72" s="28" t="s">
        <v>160</v>
      </c>
      <c r="C72" s="43" t="s">
        <v>242</v>
      </c>
      <c r="D72" s="193" t="s">
        <v>243</v>
      </c>
      <c r="E72" s="194" t="s">
        <v>167</v>
      </c>
      <c r="F72" s="195">
        <v>2</v>
      </c>
      <c r="G72" s="191">
        <v>1108.741025</v>
      </c>
      <c r="H72" s="192">
        <f t="shared" ref="H72:H80" si="8">IF(B72="","",F72*G72)</f>
        <v>2217.4820500000001</v>
      </c>
      <c r="I72" s="192" t="s">
        <v>12</v>
      </c>
      <c r="J72" s="192">
        <f t="shared" ref="J72:J107" si="9">IF(E72="","",IF(I72=$G$4,(G72*(1+$H$4)),(G72*(1+$H$5))))</f>
        <v>1377.0563530500001</v>
      </c>
      <c r="K72" s="192">
        <f>ROUND((IF(C72="","",F72*J72)),2)</f>
        <v>2754.11</v>
      </c>
      <c r="L72" s="250">
        <f>IF(C72="","",K72/$K$734)</f>
        <v>2.7729430276633547E-4</v>
      </c>
    </row>
    <row r="73" spans="1:13" s="3" customFormat="1">
      <c r="A73" s="28" t="s">
        <v>244</v>
      </c>
      <c r="B73" s="28" t="s">
        <v>160</v>
      </c>
      <c r="C73" s="43" t="s">
        <v>245</v>
      </c>
      <c r="D73" s="193" t="s">
        <v>246</v>
      </c>
      <c r="E73" s="194" t="s">
        <v>167</v>
      </c>
      <c r="F73" s="195">
        <v>2</v>
      </c>
      <c r="G73" s="191">
        <v>886.99282000000005</v>
      </c>
      <c r="H73" s="192">
        <f t="shared" si="8"/>
        <v>1773.9856400000001</v>
      </c>
      <c r="I73" s="192" t="s">
        <v>12</v>
      </c>
      <c r="J73" s="192">
        <f t="shared" si="9"/>
        <v>1101.6450824400001</v>
      </c>
      <c r="K73" s="192">
        <f>ROUND((IF(C73="","",F73*J73)),2)</f>
        <v>2203.29</v>
      </c>
      <c r="L73" s="250">
        <f>IF(C73="","",K73/$K$734)</f>
        <v>2.218356435806991E-4</v>
      </c>
    </row>
    <row r="74" spans="1:13" s="3" customFormat="1">
      <c r="A74" s="28" t="s">
        <v>247</v>
      </c>
      <c r="B74" s="28" t="s">
        <v>160</v>
      </c>
      <c r="C74" s="43" t="s">
        <v>248</v>
      </c>
      <c r="D74" s="193" t="s">
        <v>249</v>
      </c>
      <c r="E74" s="194" t="s">
        <v>167</v>
      </c>
      <c r="F74" s="195">
        <v>2</v>
      </c>
      <c r="G74" s="191">
        <v>798.29353800000001</v>
      </c>
      <c r="H74" s="192">
        <f t="shared" si="8"/>
        <v>1596.587076</v>
      </c>
      <c r="I74" s="192" t="s">
        <v>12</v>
      </c>
      <c r="J74" s="192">
        <f t="shared" si="9"/>
        <v>991.48057419600002</v>
      </c>
      <c r="K74" s="192">
        <f>ROUND((IF(C74="","",F74*J74)),2)</f>
        <v>1982.96</v>
      </c>
      <c r="L74" s="250">
        <f>IF(C74="","",K74/$K$734)</f>
        <v>1.9965197853881382E-4</v>
      </c>
    </row>
    <row r="75" spans="1:13" s="3" customFormat="1" ht="30">
      <c r="A75" s="28" t="s">
        <v>250</v>
      </c>
      <c r="B75" s="28" t="s">
        <v>3</v>
      </c>
      <c r="C75" s="43" t="s">
        <v>251</v>
      </c>
      <c r="D75" s="193" t="s">
        <v>252</v>
      </c>
      <c r="E75" s="194" t="s">
        <v>253</v>
      </c>
      <c r="F75" s="195">
        <v>20</v>
      </c>
      <c r="G75" s="191">
        <v>343.59</v>
      </c>
      <c r="H75" s="192">
        <f t="shared" si="8"/>
        <v>6871.7999999999993</v>
      </c>
      <c r="I75" s="192" t="s">
        <v>12</v>
      </c>
      <c r="J75" s="192">
        <f t="shared" si="9"/>
        <v>426.73877999999996</v>
      </c>
      <c r="K75" s="192">
        <f>ROUND((IF(C75="","",F75*J75)),2)</f>
        <v>8534.7800000000007</v>
      </c>
      <c r="L75" s="250">
        <f>IF(C75="","",K75/$K$734)</f>
        <v>8.5931421379831035E-4</v>
      </c>
    </row>
    <row r="76" spans="1:13" s="3" customFormat="1">
      <c r="A76" s="28" t="s">
        <v>254</v>
      </c>
      <c r="B76" s="28" t="s">
        <v>2</v>
      </c>
      <c r="C76" s="43">
        <v>93358</v>
      </c>
      <c r="D76" s="193" t="s">
        <v>255</v>
      </c>
      <c r="E76" s="194" t="s">
        <v>253</v>
      </c>
      <c r="F76" s="195">
        <f>'MC_CAG-Anexo '!M31</f>
        <v>30.16</v>
      </c>
      <c r="G76" s="191">
        <v>78.88</v>
      </c>
      <c r="H76" s="192">
        <f t="shared" si="8"/>
        <v>2379.0207999999998</v>
      </c>
      <c r="I76" s="192" t="s">
        <v>12</v>
      </c>
      <c r="J76" s="192">
        <f t="shared" si="9"/>
        <v>97.968959999999996</v>
      </c>
      <c r="K76" s="192">
        <f>ROUND((IF(C76="","",F76*J76)),2)</f>
        <v>2954.74</v>
      </c>
      <c r="L76" s="250">
        <f>IF(C76="","",K76/$K$734)</f>
        <v>2.9749449664530532E-4</v>
      </c>
    </row>
    <row r="77" spans="1:13" s="3" customFormat="1">
      <c r="A77" s="35" t="s">
        <v>56</v>
      </c>
      <c r="B77" s="64" t="s">
        <v>34</v>
      </c>
      <c r="C77" s="64" t="s">
        <v>34</v>
      </c>
      <c r="D77" s="36" t="s">
        <v>57</v>
      </c>
      <c r="E77" s="37" t="s">
        <v>34</v>
      </c>
      <c r="F77" s="38"/>
      <c r="G77" s="37" t="s">
        <v>34</v>
      </c>
      <c r="H77" s="39" t="str">
        <f t="shared" si="8"/>
        <v/>
      </c>
      <c r="I77" s="39"/>
      <c r="J77" s="39" t="str">
        <f t="shared" si="9"/>
        <v/>
      </c>
      <c r="K77" s="40">
        <f>SUM(K78:K80)</f>
        <v>9710.2000000000007</v>
      </c>
      <c r="L77" s="247">
        <f>SUM(L78:L80)</f>
        <v>9.7765998406805477E-4</v>
      </c>
    </row>
    <row r="78" spans="1:13" s="3" customFormat="1">
      <c r="A78" s="28" t="s">
        <v>256</v>
      </c>
      <c r="B78" s="28" t="s">
        <v>3</v>
      </c>
      <c r="C78" s="43" t="s">
        <v>257</v>
      </c>
      <c r="D78" s="193" t="s">
        <v>258</v>
      </c>
      <c r="E78" s="194" t="s">
        <v>253</v>
      </c>
      <c r="F78" s="195">
        <v>80</v>
      </c>
      <c r="G78" s="191">
        <v>48.66</v>
      </c>
      <c r="H78" s="192">
        <f t="shared" si="8"/>
        <v>3892.7999999999997</v>
      </c>
      <c r="I78" s="192" t="s">
        <v>12</v>
      </c>
      <c r="J78" s="192">
        <f t="shared" si="9"/>
        <v>60.435719999999996</v>
      </c>
      <c r="K78" s="192">
        <f>ROUND((IF(C78="","",F78*J78)),2)</f>
        <v>4834.8599999999997</v>
      </c>
      <c r="L78" s="250">
        <f>IF(C78="","",K78/$K$734)</f>
        <v>4.8679215161080876E-4</v>
      </c>
    </row>
    <row r="79" spans="1:13" s="3" customFormat="1" ht="30">
      <c r="A79" s="28" t="s">
        <v>259</v>
      </c>
      <c r="B79" s="28" t="s">
        <v>2</v>
      </c>
      <c r="C79" s="43">
        <v>97083</v>
      </c>
      <c r="D79" s="193" t="s">
        <v>260</v>
      </c>
      <c r="E79" s="194" t="s">
        <v>150</v>
      </c>
      <c r="F79" s="195">
        <f>7*8.15</f>
        <v>57.050000000000004</v>
      </c>
      <c r="G79" s="191">
        <v>3.23</v>
      </c>
      <c r="H79" s="192">
        <f t="shared" si="8"/>
        <v>184.2715</v>
      </c>
      <c r="I79" s="192" t="s">
        <v>12</v>
      </c>
      <c r="J79" s="192">
        <f t="shared" si="9"/>
        <v>4.01166</v>
      </c>
      <c r="K79" s="192">
        <f>ROUND((IF(C79="","",F79*J79)),2)</f>
        <v>228.87</v>
      </c>
      <c r="L79" s="250">
        <f>IF(C79="","",K79/$K$734)</f>
        <v>2.3043504825199861E-5</v>
      </c>
    </row>
    <row r="80" spans="1:13" s="3" customFormat="1">
      <c r="A80" s="28" t="s">
        <v>261</v>
      </c>
      <c r="B80" s="28" t="s">
        <v>3</v>
      </c>
      <c r="C80" s="43" t="s">
        <v>135</v>
      </c>
      <c r="D80" s="193" t="s">
        <v>262</v>
      </c>
      <c r="E80" s="194" t="s">
        <v>137</v>
      </c>
      <c r="F80" s="195">
        <v>16</v>
      </c>
      <c r="G80" s="191">
        <v>233.82</v>
      </c>
      <c r="H80" s="192">
        <f t="shared" si="8"/>
        <v>3741.12</v>
      </c>
      <c r="I80" s="192" t="s">
        <v>12</v>
      </c>
      <c r="J80" s="192">
        <f t="shared" si="9"/>
        <v>290.40443999999997</v>
      </c>
      <c r="K80" s="192">
        <f>ROUND((IF(C80="","",F80*J80)),2)</f>
        <v>4646.47</v>
      </c>
      <c r="L80" s="250">
        <f>IF(C80="","",K80/$K$734)</f>
        <v>4.6782432763204615E-4</v>
      </c>
    </row>
    <row r="81" spans="1:12" s="3" customFormat="1">
      <c r="A81" s="28"/>
      <c r="B81" s="43"/>
      <c r="C81" s="43"/>
      <c r="D81" s="254"/>
      <c r="E81" s="44"/>
      <c r="F81" s="45"/>
      <c r="G81" s="274"/>
      <c r="H81" s="47"/>
      <c r="I81" s="47"/>
      <c r="J81" s="47"/>
      <c r="K81" s="192"/>
      <c r="L81" s="250"/>
    </row>
    <row r="82" spans="1:12" s="3" customFormat="1">
      <c r="A82" s="35" t="s">
        <v>58</v>
      </c>
      <c r="B82" s="64" t="s">
        <v>34</v>
      </c>
      <c r="C82" s="64" t="s">
        <v>34</v>
      </c>
      <c r="D82" s="36" t="s">
        <v>263</v>
      </c>
      <c r="E82" s="37" t="s">
        <v>34</v>
      </c>
      <c r="F82" s="38"/>
      <c r="G82" s="37" t="s">
        <v>34</v>
      </c>
      <c r="H82" s="39" t="str">
        <f t="shared" ref="H82:H107" si="10">IF(B82="","",F82*G82)</f>
        <v/>
      </c>
      <c r="I82" s="39"/>
      <c r="J82" s="39" t="str">
        <f t="shared" ref="J82" si="11">IF(E82="","",IF(I82=$G$4,(G82*(1+$H$4)),(G82*(1+$H$5))))</f>
        <v/>
      </c>
      <c r="K82" s="40">
        <f>SUM(K83:K87)</f>
        <v>15313.7</v>
      </c>
      <c r="L82" s="247">
        <f>SUM(L83:L87)</f>
        <v>1.5418417435297904E-3</v>
      </c>
    </row>
    <row r="83" spans="1:12" s="3" customFormat="1" ht="30">
      <c r="A83" s="28" t="s">
        <v>264</v>
      </c>
      <c r="B83" s="28" t="s">
        <v>2</v>
      </c>
      <c r="C83" s="43">
        <v>100954</v>
      </c>
      <c r="D83" s="193" t="s">
        <v>265</v>
      </c>
      <c r="E83" s="194" t="s">
        <v>266</v>
      </c>
      <c r="F83" s="195">
        <v>6</v>
      </c>
      <c r="G83" s="191">
        <v>8.27</v>
      </c>
      <c r="H83" s="192">
        <f t="shared" si="10"/>
        <v>49.62</v>
      </c>
      <c r="I83" s="192" t="s">
        <v>12</v>
      </c>
      <c r="J83" s="192">
        <f t="shared" si="9"/>
        <v>10.271339999999999</v>
      </c>
      <c r="K83" s="192">
        <f t="shared" ref="K83:K87" si="12">ROUND((IF(C83="","",F83*J83)),2)</f>
        <v>61.63</v>
      </c>
      <c r="L83" s="250">
        <f>IF(C83="","",K83/$K$734)</f>
        <v>6.2051435416483923E-6</v>
      </c>
    </row>
    <row r="84" spans="1:12" s="3" customFormat="1" ht="30">
      <c r="A84" s="28" t="s">
        <v>267</v>
      </c>
      <c r="B84" s="28" t="s">
        <v>2</v>
      </c>
      <c r="C84" s="43">
        <v>90696</v>
      </c>
      <c r="D84" s="193" t="s">
        <v>268</v>
      </c>
      <c r="E84" s="194" t="s">
        <v>180</v>
      </c>
      <c r="F84" s="195">
        <v>30</v>
      </c>
      <c r="G84" s="191">
        <v>138.47999999999999</v>
      </c>
      <c r="H84" s="192">
        <f t="shared" si="10"/>
        <v>4154.3999999999996</v>
      </c>
      <c r="I84" s="192" t="s">
        <v>12</v>
      </c>
      <c r="J84" s="192">
        <f t="shared" ref="J84:J105" si="13">IF(E84="","",IF(I84=$G$4,(G84*(1+$H$4)),(G84*(1+$H$5))))</f>
        <v>171.99215999999998</v>
      </c>
      <c r="K84" s="192">
        <f t="shared" si="12"/>
        <v>5159.76</v>
      </c>
      <c r="L84" s="250">
        <f>IF(C84="","",K84/$K$734)</f>
        <v>5.195043232266057E-4</v>
      </c>
    </row>
    <row r="85" spans="1:12" s="3" customFormat="1" ht="30">
      <c r="A85" s="28" t="s">
        <v>269</v>
      </c>
      <c r="B85" s="28" t="s">
        <v>160</v>
      </c>
      <c r="C85" s="43" t="s">
        <v>270</v>
      </c>
      <c r="D85" s="193" t="s">
        <v>271</v>
      </c>
      <c r="E85" s="194" t="s">
        <v>167</v>
      </c>
      <c r="F85" s="195">
        <v>4</v>
      </c>
      <c r="G85" s="191">
        <f>'Composições - CCU'!F5581</f>
        <v>563.91357499999992</v>
      </c>
      <c r="H85" s="192">
        <f t="shared" si="10"/>
        <v>2255.6542999999997</v>
      </c>
      <c r="I85" s="192" t="s">
        <v>12</v>
      </c>
      <c r="J85" s="192">
        <f t="shared" si="13"/>
        <v>700.38066014999993</v>
      </c>
      <c r="K85" s="192">
        <f t="shared" si="12"/>
        <v>2801.52</v>
      </c>
      <c r="L85" s="250">
        <f>IF(C85="","",K85/$K$734)</f>
        <v>2.820677224533312E-4</v>
      </c>
    </row>
    <row r="86" spans="1:12" s="3" customFormat="1" ht="30">
      <c r="A86" s="28" t="s">
        <v>272</v>
      </c>
      <c r="B86" s="28" t="s">
        <v>160</v>
      </c>
      <c r="C86" s="43" t="s">
        <v>273</v>
      </c>
      <c r="D86" s="193" t="s">
        <v>274</v>
      </c>
      <c r="E86" s="194" t="s">
        <v>167</v>
      </c>
      <c r="F86" s="195">
        <v>4</v>
      </c>
      <c r="G86" s="191">
        <f>'Composições - CCU'!F5605</f>
        <v>765.01357499999995</v>
      </c>
      <c r="H86" s="192">
        <f t="shared" si="10"/>
        <v>3060.0542999999998</v>
      </c>
      <c r="I86" s="192" t="s">
        <v>12</v>
      </c>
      <c r="J86" s="192">
        <f t="shared" si="13"/>
        <v>950.14686014999995</v>
      </c>
      <c r="K86" s="192">
        <f t="shared" si="12"/>
        <v>3800.59</v>
      </c>
      <c r="L86" s="250">
        <f>IF(C86="","",K86/$K$734)</f>
        <v>3.8265790188144513E-4</v>
      </c>
    </row>
    <row r="87" spans="1:12" s="3" customFormat="1" ht="33.75" customHeight="1">
      <c r="A87" s="28" t="s">
        <v>275</v>
      </c>
      <c r="B87" s="28" t="s">
        <v>160</v>
      </c>
      <c r="C87" s="43" t="str">
        <f>C200</f>
        <v>FLG-002</v>
      </c>
      <c r="D87" s="489" t="s">
        <v>276</v>
      </c>
      <c r="E87" s="194" t="s">
        <v>167</v>
      </c>
      <c r="F87" s="195">
        <v>2</v>
      </c>
      <c r="G87" s="191">
        <f>G200</f>
        <v>1405.0731499999999</v>
      </c>
      <c r="H87" s="192">
        <f t="shared" si="10"/>
        <v>2810.1462999999999</v>
      </c>
      <c r="I87" s="192" t="s">
        <v>12</v>
      </c>
      <c r="J87" s="192">
        <f t="shared" si="13"/>
        <v>1745.1008522999998</v>
      </c>
      <c r="K87" s="192">
        <f t="shared" si="12"/>
        <v>3490.2</v>
      </c>
      <c r="L87" s="250">
        <f>IF(C87="","",K87/$K$734)</f>
        <v>3.5140665242675999E-4</v>
      </c>
    </row>
    <row r="88" spans="1:12" s="3" customFormat="1">
      <c r="A88" s="35" t="s">
        <v>59</v>
      </c>
      <c r="B88" s="64" t="s">
        <v>34</v>
      </c>
      <c r="C88" s="64" t="s">
        <v>34</v>
      </c>
      <c r="D88" s="36" t="s">
        <v>277</v>
      </c>
      <c r="E88" s="37" t="s">
        <v>34</v>
      </c>
      <c r="F88" s="38"/>
      <c r="G88" s="37" t="s">
        <v>34</v>
      </c>
      <c r="H88" s="39" t="str">
        <f t="shared" si="10"/>
        <v/>
      </c>
      <c r="I88" s="39"/>
      <c r="J88" s="39" t="str">
        <f t="shared" si="13"/>
        <v/>
      </c>
      <c r="K88" s="40">
        <f>SUM(K89:K105)</f>
        <v>161324.25000000003</v>
      </c>
      <c r="L88" s="247">
        <f>SUM(L89:L105)</f>
        <v>1.624274100273845E-2</v>
      </c>
    </row>
    <row r="89" spans="1:12" s="3" customFormat="1" ht="30">
      <c r="A89" s="28" t="s">
        <v>278</v>
      </c>
      <c r="B89" s="28" t="s">
        <v>160</v>
      </c>
      <c r="C89" s="43" t="str">
        <f>'Composições - CCU'!A1053</f>
        <v>TPV-001</v>
      </c>
      <c r="D89" s="193" t="s">
        <v>279</v>
      </c>
      <c r="E89" s="194" t="s">
        <v>180</v>
      </c>
      <c r="F89" s="195">
        <v>93</v>
      </c>
      <c r="G89" s="191">
        <f>'Composições - CCU'!F1053</f>
        <v>390.43980875000005</v>
      </c>
      <c r="H89" s="192">
        <f t="shared" si="10"/>
        <v>36310.902213750007</v>
      </c>
      <c r="I89" s="192" t="s">
        <v>12</v>
      </c>
      <c r="J89" s="192">
        <f t="shared" si="13"/>
        <v>484.92624246750006</v>
      </c>
      <c r="K89" s="192">
        <f t="shared" ref="K89:K105" si="14">ROUND((IF(C89="","",F89*J89)),2)</f>
        <v>45098.14</v>
      </c>
      <c r="L89" s="250">
        <f t="shared" ref="L89:L105" si="15">IF(C89="","",K89/$K$734)</f>
        <v>4.540652801579669E-3</v>
      </c>
    </row>
    <row r="90" spans="1:12" s="3" customFormat="1" ht="30">
      <c r="A90" s="28" t="s">
        <v>280</v>
      </c>
      <c r="B90" s="28" t="s">
        <v>160</v>
      </c>
      <c r="C90" s="43" t="str">
        <f>'Composições - CCU'!A1083</f>
        <v>TPV-002</v>
      </c>
      <c r="D90" s="193" t="s">
        <v>281</v>
      </c>
      <c r="E90" s="194" t="s">
        <v>180</v>
      </c>
      <c r="F90" s="195">
        <v>17</v>
      </c>
      <c r="G90" s="191">
        <f>'Composições - CCU'!F1083</f>
        <v>302.19230875000005</v>
      </c>
      <c r="H90" s="192">
        <f t="shared" si="10"/>
        <v>5137.2692487500008</v>
      </c>
      <c r="I90" s="192" t="s">
        <v>12</v>
      </c>
      <c r="J90" s="192">
        <f t="shared" si="13"/>
        <v>375.32284746750008</v>
      </c>
      <c r="K90" s="192">
        <f t="shared" si="14"/>
        <v>6380.49</v>
      </c>
      <c r="L90" s="250">
        <f t="shared" si="15"/>
        <v>6.4241207717105544E-4</v>
      </c>
    </row>
    <row r="91" spans="1:12" s="3" customFormat="1" ht="30">
      <c r="A91" s="28" t="s">
        <v>282</v>
      </c>
      <c r="B91" s="28" t="s">
        <v>160</v>
      </c>
      <c r="C91" s="43" t="str">
        <f>'Composições - CCU'!A1113</f>
        <v>TPV-003</v>
      </c>
      <c r="D91" s="193" t="s">
        <v>283</v>
      </c>
      <c r="E91" s="194" t="s">
        <v>180</v>
      </c>
      <c r="F91" s="195">
        <v>180</v>
      </c>
      <c r="G91" s="191">
        <f>'Composições - CCU'!F1113</f>
        <v>201.59645874999998</v>
      </c>
      <c r="H91" s="192">
        <f t="shared" si="10"/>
        <v>36287.362574999999</v>
      </c>
      <c r="I91" s="192" t="s">
        <v>12</v>
      </c>
      <c r="J91" s="192">
        <f t="shared" si="13"/>
        <v>250.38280176749998</v>
      </c>
      <c r="K91" s="192">
        <f t="shared" si="14"/>
        <v>45068.9</v>
      </c>
      <c r="L91" s="250">
        <f t="shared" si="15"/>
        <v>4.5377088068180634E-3</v>
      </c>
    </row>
    <row r="92" spans="1:12" s="3" customFormat="1" ht="30">
      <c r="A92" s="28" t="s">
        <v>284</v>
      </c>
      <c r="B92" s="28" t="s">
        <v>160</v>
      </c>
      <c r="C92" s="43" t="str">
        <f>'Composições - CCU'!A1143</f>
        <v>TPV-004</v>
      </c>
      <c r="D92" s="193" t="s">
        <v>285</v>
      </c>
      <c r="E92" s="194" t="s">
        <v>180</v>
      </c>
      <c r="F92" s="195">
        <v>115</v>
      </c>
      <c r="G92" s="191">
        <f>'Composições - CCU'!F1143</f>
        <v>190.71686972000001</v>
      </c>
      <c r="H92" s="192">
        <f t="shared" si="10"/>
        <v>21932.4400178</v>
      </c>
      <c r="I92" s="192" t="s">
        <v>12</v>
      </c>
      <c r="J92" s="192">
        <f t="shared" si="13"/>
        <v>236.87035219224001</v>
      </c>
      <c r="K92" s="192">
        <f t="shared" si="14"/>
        <v>27240.09</v>
      </c>
      <c r="L92" s="250">
        <f t="shared" si="15"/>
        <v>2.7426361923969002E-3</v>
      </c>
    </row>
    <row r="93" spans="1:12" s="3" customFormat="1">
      <c r="A93" s="28" t="s">
        <v>286</v>
      </c>
      <c r="B93" s="28" t="s">
        <v>2</v>
      </c>
      <c r="C93" s="43">
        <v>101925</v>
      </c>
      <c r="D93" s="193" t="s">
        <v>287</v>
      </c>
      <c r="E93" s="194" t="s">
        <v>167</v>
      </c>
      <c r="F93" s="195">
        <v>14</v>
      </c>
      <c r="G93" s="191">
        <v>298.58999999999997</v>
      </c>
      <c r="H93" s="192">
        <f t="shared" si="10"/>
        <v>4180.2599999999993</v>
      </c>
      <c r="I93" s="192" t="s">
        <v>12</v>
      </c>
      <c r="J93" s="192">
        <f t="shared" si="13"/>
        <v>370.84877999999998</v>
      </c>
      <c r="K93" s="192">
        <f t="shared" si="14"/>
        <v>5191.88</v>
      </c>
      <c r="L93" s="250">
        <f t="shared" si="15"/>
        <v>5.227382873764961E-4</v>
      </c>
    </row>
    <row r="94" spans="1:12" s="3" customFormat="1">
      <c r="A94" s="28" t="s">
        <v>288</v>
      </c>
      <c r="B94" s="28" t="s">
        <v>2</v>
      </c>
      <c r="C94" s="43">
        <v>97438</v>
      </c>
      <c r="D94" s="193" t="s">
        <v>289</v>
      </c>
      <c r="E94" s="194" t="s">
        <v>167</v>
      </c>
      <c r="F94" s="195">
        <v>4</v>
      </c>
      <c r="G94" s="191">
        <v>130.31</v>
      </c>
      <c r="H94" s="192">
        <f t="shared" si="10"/>
        <v>521.24</v>
      </c>
      <c r="I94" s="192" t="s">
        <v>12</v>
      </c>
      <c r="J94" s="192">
        <f t="shared" si="13"/>
        <v>161.84502000000001</v>
      </c>
      <c r="K94" s="192">
        <f t="shared" si="14"/>
        <v>647.38</v>
      </c>
      <c r="L94" s="250">
        <f t="shared" si="15"/>
        <v>6.5180688398382863E-5</v>
      </c>
    </row>
    <row r="95" spans="1:12" s="3" customFormat="1" ht="30">
      <c r="A95" s="28" t="s">
        <v>290</v>
      </c>
      <c r="B95" s="28" t="s">
        <v>2</v>
      </c>
      <c r="C95" s="43">
        <v>97436</v>
      </c>
      <c r="D95" s="193" t="s">
        <v>291</v>
      </c>
      <c r="E95" s="194" t="s">
        <v>167</v>
      </c>
      <c r="F95" s="195">
        <v>13</v>
      </c>
      <c r="G95" s="191">
        <v>114.04</v>
      </c>
      <c r="H95" s="192">
        <f t="shared" si="10"/>
        <v>1482.52</v>
      </c>
      <c r="I95" s="192" t="s">
        <v>12</v>
      </c>
      <c r="J95" s="192">
        <f t="shared" si="13"/>
        <v>141.63768000000002</v>
      </c>
      <c r="K95" s="192">
        <f t="shared" si="14"/>
        <v>1841.29</v>
      </c>
      <c r="L95" s="250">
        <f t="shared" si="15"/>
        <v>1.8538810241443724E-4</v>
      </c>
    </row>
    <row r="96" spans="1:12" s="3" customFormat="1">
      <c r="A96" s="28" t="s">
        <v>292</v>
      </c>
      <c r="B96" s="28" t="s">
        <v>2</v>
      </c>
      <c r="C96" s="43">
        <v>97434</v>
      </c>
      <c r="D96" s="193" t="s">
        <v>293</v>
      </c>
      <c r="E96" s="194" t="s">
        <v>167</v>
      </c>
      <c r="F96" s="195">
        <v>28</v>
      </c>
      <c r="G96" s="191">
        <v>96.22</v>
      </c>
      <c r="H96" s="192">
        <f t="shared" si="10"/>
        <v>2694.16</v>
      </c>
      <c r="I96" s="192" t="s">
        <v>12</v>
      </c>
      <c r="J96" s="192">
        <f t="shared" si="13"/>
        <v>119.50524</v>
      </c>
      <c r="K96" s="192">
        <f t="shared" si="14"/>
        <v>3346.15</v>
      </c>
      <c r="L96" s="250">
        <f t="shared" si="15"/>
        <v>3.3690314882178757E-4</v>
      </c>
    </row>
    <row r="97" spans="1:12" s="3" customFormat="1">
      <c r="A97" s="28" t="s">
        <v>294</v>
      </c>
      <c r="B97" s="28" t="s">
        <v>2</v>
      </c>
      <c r="C97" s="43">
        <v>94476</v>
      </c>
      <c r="D97" s="193" t="s">
        <v>295</v>
      </c>
      <c r="E97" s="194" t="s">
        <v>167</v>
      </c>
      <c r="F97" s="195">
        <v>4</v>
      </c>
      <c r="G97" s="191">
        <v>176.04</v>
      </c>
      <c r="H97" s="192">
        <f t="shared" si="10"/>
        <v>704.16</v>
      </c>
      <c r="I97" s="192" t="s">
        <v>12</v>
      </c>
      <c r="J97" s="192">
        <f t="shared" si="13"/>
        <v>218.64167999999998</v>
      </c>
      <c r="K97" s="192">
        <f t="shared" si="14"/>
        <v>874.57</v>
      </c>
      <c r="L97" s="250">
        <f t="shared" si="15"/>
        <v>8.8055044413750357E-5</v>
      </c>
    </row>
    <row r="98" spans="1:12" s="3" customFormat="1">
      <c r="A98" s="28" t="s">
        <v>296</v>
      </c>
      <c r="B98" s="28" t="s">
        <v>2</v>
      </c>
      <c r="C98" s="43">
        <v>97433</v>
      </c>
      <c r="D98" s="193" t="s">
        <v>297</v>
      </c>
      <c r="E98" s="194" t="s">
        <v>167</v>
      </c>
      <c r="F98" s="195">
        <v>6</v>
      </c>
      <c r="G98" s="191">
        <v>94.35</v>
      </c>
      <c r="H98" s="192">
        <f t="shared" si="10"/>
        <v>566.09999999999991</v>
      </c>
      <c r="I98" s="192" t="s">
        <v>12</v>
      </c>
      <c r="J98" s="192">
        <f t="shared" si="13"/>
        <v>117.1827</v>
      </c>
      <c r="K98" s="192">
        <f t="shared" si="14"/>
        <v>703.1</v>
      </c>
      <c r="L98" s="250">
        <f t="shared" si="15"/>
        <v>7.079079059115666E-5</v>
      </c>
    </row>
    <row r="99" spans="1:12" s="3" customFormat="1">
      <c r="A99" s="28" t="s">
        <v>298</v>
      </c>
      <c r="B99" s="28" t="s">
        <v>2</v>
      </c>
      <c r="C99" s="43">
        <v>101929</v>
      </c>
      <c r="D99" s="193" t="s">
        <v>299</v>
      </c>
      <c r="E99" s="194" t="s">
        <v>167</v>
      </c>
      <c r="F99" s="195">
        <v>17</v>
      </c>
      <c r="G99" s="191">
        <v>194.44</v>
      </c>
      <c r="H99" s="192">
        <f t="shared" si="10"/>
        <v>3305.48</v>
      </c>
      <c r="I99" s="192" t="s">
        <v>12</v>
      </c>
      <c r="J99" s="192">
        <f t="shared" si="13"/>
        <v>241.49447999999998</v>
      </c>
      <c r="K99" s="192">
        <f t="shared" si="14"/>
        <v>4105.41</v>
      </c>
      <c r="L99" s="250">
        <f t="shared" si="15"/>
        <v>4.133483424844836E-4</v>
      </c>
    </row>
    <row r="100" spans="1:12" s="3" customFormat="1">
      <c r="A100" s="28" t="s">
        <v>300</v>
      </c>
      <c r="B100" s="28" t="s">
        <v>2</v>
      </c>
      <c r="C100" s="43">
        <v>92349</v>
      </c>
      <c r="D100" s="193" t="s">
        <v>301</v>
      </c>
      <c r="E100" s="194" t="s">
        <v>167</v>
      </c>
      <c r="F100" s="195">
        <v>10</v>
      </c>
      <c r="G100" s="191">
        <v>130.02000000000001</v>
      </c>
      <c r="H100" s="192">
        <f t="shared" si="10"/>
        <v>1300.2</v>
      </c>
      <c r="I100" s="192" t="s">
        <v>12</v>
      </c>
      <c r="J100" s="192">
        <f t="shared" si="13"/>
        <v>161.48484000000002</v>
      </c>
      <c r="K100" s="192">
        <f t="shared" si="14"/>
        <v>1614.85</v>
      </c>
      <c r="L100" s="250">
        <f t="shared" si="15"/>
        <v>1.6258925926060207E-4</v>
      </c>
    </row>
    <row r="101" spans="1:12" s="3" customFormat="1">
      <c r="A101" s="28" t="s">
        <v>302</v>
      </c>
      <c r="B101" s="28" t="s">
        <v>2</v>
      </c>
      <c r="C101" s="43">
        <v>92345</v>
      </c>
      <c r="D101" s="193" t="s">
        <v>303</v>
      </c>
      <c r="E101" s="194" t="s">
        <v>167</v>
      </c>
      <c r="F101" s="195">
        <v>51</v>
      </c>
      <c r="G101" s="191">
        <v>63.4</v>
      </c>
      <c r="H101" s="192">
        <f t="shared" si="10"/>
        <v>3233.4</v>
      </c>
      <c r="I101" s="192" t="s">
        <v>12</v>
      </c>
      <c r="J101" s="192">
        <f t="shared" si="13"/>
        <v>78.742800000000003</v>
      </c>
      <c r="K101" s="192">
        <f t="shared" si="14"/>
        <v>4015.88</v>
      </c>
      <c r="L101" s="250">
        <f t="shared" si="15"/>
        <v>4.0433412049383329E-4</v>
      </c>
    </row>
    <row r="102" spans="1:12" s="3" customFormat="1" ht="30">
      <c r="A102" s="28" t="s">
        <v>304</v>
      </c>
      <c r="B102" s="28" t="s">
        <v>2</v>
      </c>
      <c r="C102" s="43">
        <v>99634</v>
      </c>
      <c r="D102" s="193" t="s">
        <v>305</v>
      </c>
      <c r="E102" s="194" t="s">
        <v>167</v>
      </c>
      <c r="F102" s="195">
        <v>2</v>
      </c>
      <c r="G102" s="191">
        <v>628.5</v>
      </c>
      <c r="H102" s="192">
        <f t="shared" si="10"/>
        <v>1257</v>
      </c>
      <c r="I102" s="192" t="s">
        <v>12</v>
      </c>
      <c r="J102" s="192">
        <f t="shared" si="13"/>
        <v>780.59699999999998</v>
      </c>
      <c r="K102" s="192">
        <f t="shared" si="14"/>
        <v>1561.19</v>
      </c>
      <c r="L102" s="250">
        <f t="shared" si="15"/>
        <v>1.5718656572750371E-4</v>
      </c>
    </row>
    <row r="103" spans="1:12" s="3" customFormat="1" ht="30">
      <c r="A103" s="28" t="s">
        <v>306</v>
      </c>
      <c r="B103" s="28" t="s">
        <v>2</v>
      </c>
      <c r="C103" s="43">
        <v>91931</v>
      </c>
      <c r="D103" s="193" t="s">
        <v>307</v>
      </c>
      <c r="E103" s="194" t="s">
        <v>180</v>
      </c>
      <c r="F103" s="195">
        <f>25*4*4</f>
        <v>400</v>
      </c>
      <c r="G103" s="191">
        <v>8.4600000000000009</v>
      </c>
      <c r="H103" s="192">
        <f t="shared" si="10"/>
        <v>3384.0000000000005</v>
      </c>
      <c r="I103" s="192" t="s">
        <v>12</v>
      </c>
      <c r="J103" s="192">
        <f t="shared" si="13"/>
        <v>10.507320000000002</v>
      </c>
      <c r="K103" s="192">
        <f t="shared" si="14"/>
        <v>4202.93</v>
      </c>
      <c r="L103" s="250">
        <f t="shared" si="15"/>
        <v>4.2316702815999155E-4</v>
      </c>
    </row>
    <row r="104" spans="1:12" s="3" customFormat="1" ht="45">
      <c r="A104" s="28" t="s">
        <v>308</v>
      </c>
      <c r="B104" s="28" t="s">
        <v>3</v>
      </c>
      <c r="C104" s="43" t="s">
        <v>309</v>
      </c>
      <c r="D104" s="193" t="s">
        <v>310</v>
      </c>
      <c r="E104" s="194" t="s">
        <v>150</v>
      </c>
      <c r="F104" s="195">
        <v>180</v>
      </c>
      <c r="G104" s="191">
        <v>12.19</v>
      </c>
      <c r="H104" s="192">
        <f t="shared" si="10"/>
        <v>2194.1999999999998</v>
      </c>
      <c r="I104" s="192" t="s">
        <v>12</v>
      </c>
      <c r="J104" s="192">
        <f t="shared" si="13"/>
        <v>15.13998</v>
      </c>
      <c r="K104" s="192">
        <f t="shared" si="14"/>
        <v>2725.2</v>
      </c>
      <c r="L104" s="250">
        <f t="shared" si="15"/>
        <v>2.7438353366380331E-4</v>
      </c>
    </row>
    <row r="105" spans="1:12" s="3" customFormat="1" ht="45">
      <c r="A105" s="28" t="s">
        <v>311</v>
      </c>
      <c r="B105" s="28" t="s">
        <v>3</v>
      </c>
      <c r="C105" s="43" t="s">
        <v>312</v>
      </c>
      <c r="D105" s="193" t="s">
        <v>313</v>
      </c>
      <c r="E105" s="194" t="s">
        <v>314</v>
      </c>
      <c r="F105" s="195">
        <v>360</v>
      </c>
      <c r="G105" s="191">
        <v>15</v>
      </c>
      <c r="H105" s="192">
        <f t="shared" si="10"/>
        <v>5400</v>
      </c>
      <c r="I105" s="192" t="s">
        <v>12</v>
      </c>
      <c r="J105" s="192">
        <f t="shared" si="13"/>
        <v>18.63</v>
      </c>
      <c r="K105" s="192">
        <f t="shared" si="14"/>
        <v>6706.8</v>
      </c>
      <c r="L105" s="250">
        <f t="shared" si="15"/>
        <v>6.7526621296653308E-4</v>
      </c>
    </row>
    <row r="106" spans="1:12" s="3" customFormat="1">
      <c r="A106" s="35" t="s">
        <v>60</v>
      </c>
      <c r="B106" s="64" t="s">
        <v>34</v>
      </c>
      <c r="C106" s="64" t="s">
        <v>34</v>
      </c>
      <c r="D106" s="36" t="s">
        <v>61</v>
      </c>
      <c r="E106" s="37" t="s">
        <v>34</v>
      </c>
      <c r="F106" s="38"/>
      <c r="G106" s="37" t="s">
        <v>34</v>
      </c>
      <c r="H106" s="39" t="str">
        <f t="shared" si="10"/>
        <v/>
      </c>
      <c r="I106" s="39"/>
      <c r="J106" s="39" t="str">
        <f t="shared" si="9"/>
        <v/>
      </c>
      <c r="K106" s="40">
        <f>SUM(K107:K107)</f>
        <v>2049.3000000000002</v>
      </c>
      <c r="L106" s="247">
        <f>SUM(L107:L107)</f>
        <v>2.0633134285088513E-4</v>
      </c>
    </row>
    <row r="107" spans="1:12" s="3" customFormat="1">
      <c r="A107" s="28" t="s">
        <v>315</v>
      </c>
      <c r="B107" s="28" t="s">
        <v>4</v>
      </c>
      <c r="C107" s="43" t="s">
        <v>156</v>
      </c>
      <c r="D107" s="193" t="s">
        <v>157</v>
      </c>
      <c r="E107" s="194" t="s">
        <v>158</v>
      </c>
      <c r="F107" s="195">
        <v>5</v>
      </c>
      <c r="G107" s="191">
        <v>330</v>
      </c>
      <c r="H107" s="192">
        <f t="shared" si="10"/>
        <v>1650</v>
      </c>
      <c r="I107" s="192" t="s">
        <v>12</v>
      </c>
      <c r="J107" s="192">
        <f t="shared" si="9"/>
        <v>409.86</v>
      </c>
      <c r="K107" s="192">
        <f>ROUND((IF(C107="","",F107*J107)),2)</f>
        <v>2049.3000000000002</v>
      </c>
      <c r="L107" s="250">
        <f>IF(C107="","",K107/$K$734)</f>
        <v>2.0633134285088513E-4</v>
      </c>
    </row>
    <row r="108" spans="1:12" s="3" customFormat="1">
      <c r="A108" s="43" t="s">
        <v>151</v>
      </c>
      <c r="B108" s="120" t="s">
        <v>34</v>
      </c>
      <c r="C108" s="120" t="s">
        <v>34</v>
      </c>
      <c r="D108" s="245" t="s">
        <v>34</v>
      </c>
      <c r="E108" s="120" t="s">
        <v>34</v>
      </c>
      <c r="F108" s="243"/>
      <c r="G108" s="120" t="s">
        <v>34</v>
      </c>
      <c r="H108" s="244"/>
      <c r="I108" s="244"/>
      <c r="J108" s="244"/>
      <c r="K108" s="246"/>
      <c r="L108" s="251"/>
    </row>
    <row r="109" spans="1:12" s="3" customFormat="1">
      <c r="A109" s="32" t="s">
        <v>62</v>
      </c>
      <c r="B109" s="32" t="s">
        <v>34</v>
      </c>
      <c r="C109" s="32" t="s">
        <v>34</v>
      </c>
      <c r="D109" s="34" t="s">
        <v>63</v>
      </c>
      <c r="E109" s="33" t="s">
        <v>34</v>
      </c>
      <c r="F109" s="33"/>
      <c r="G109" s="29" t="s">
        <v>34</v>
      </c>
      <c r="H109" s="30"/>
      <c r="I109" s="30"/>
      <c r="J109" s="30"/>
      <c r="K109" s="31">
        <f>ROUND((K110),2)</f>
        <v>42150.94</v>
      </c>
      <c r="L109" s="249">
        <f>L110</f>
        <v>4.2439174609023014E-3</v>
      </c>
    </row>
    <row r="110" spans="1:12" s="3" customFormat="1">
      <c r="A110" s="35" t="s">
        <v>64</v>
      </c>
      <c r="B110" s="64" t="s">
        <v>34</v>
      </c>
      <c r="C110" s="64" t="s">
        <v>34</v>
      </c>
      <c r="D110" s="36" t="s">
        <v>65</v>
      </c>
      <c r="E110" s="37" t="s">
        <v>34</v>
      </c>
      <c r="F110" s="38"/>
      <c r="G110" s="37" t="s">
        <v>34</v>
      </c>
      <c r="H110" s="39"/>
      <c r="I110" s="39"/>
      <c r="J110" s="39"/>
      <c r="K110" s="40">
        <f>SUM(K111:K115)</f>
        <v>42150.939999999995</v>
      </c>
      <c r="L110" s="247">
        <f>SUM(L111:L115)</f>
        <v>4.2439174609023014E-3</v>
      </c>
    </row>
    <row r="111" spans="1:12" s="3" customFormat="1">
      <c r="A111" s="28" t="s">
        <v>316</v>
      </c>
      <c r="B111" s="28" t="s">
        <v>2</v>
      </c>
      <c r="C111" s="43">
        <v>104626</v>
      </c>
      <c r="D111" s="193" t="s">
        <v>317</v>
      </c>
      <c r="E111" s="194" t="s">
        <v>253</v>
      </c>
      <c r="F111" s="195">
        <v>2.5099999999999998</v>
      </c>
      <c r="G111" s="191">
        <v>818.02</v>
      </c>
      <c r="H111" s="192">
        <f>IF(B111="","",F111*G111)</f>
        <v>2053.2302</v>
      </c>
      <c r="I111" s="192" t="s">
        <v>12</v>
      </c>
      <c r="J111" s="192">
        <f>IF(E111="","",IF(I111=$G$4,(G111*(1+$H$4)),(G111*(1+$H$5))))</f>
        <v>1015.9808399999999</v>
      </c>
      <c r="K111" s="192">
        <f>ROUND((IF(C111="","",F111*J111)),2)</f>
        <v>2550.11</v>
      </c>
      <c r="L111" s="250">
        <f>IF(C111="","",K111/$K$734)</f>
        <v>2.56754804429547E-4</v>
      </c>
    </row>
    <row r="112" spans="1:12" s="3" customFormat="1">
      <c r="A112" s="28" t="s">
        <v>318</v>
      </c>
      <c r="B112" s="28" t="s">
        <v>2</v>
      </c>
      <c r="C112" s="43">
        <v>104626</v>
      </c>
      <c r="D112" s="193" t="s">
        <v>319</v>
      </c>
      <c r="E112" s="194" t="s">
        <v>253</v>
      </c>
      <c r="F112" s="195">
        <v>7.8</v>
      </c>
      <c r="G112" s="191">
        <v>818.02</v>
      </c>
      <c r="H112" s="192">
        <f>IF(B112="","",F112*G112)</f>
        <v>6380.5559999999996</v>
      </c>
      <c r="I112" s="192" t="s">
        <v>12</v>
      </c>
      <c r="J112" s="192">
        <f>IF(E112="","",IF(I112=$G$4,(G112*(1+$H$4)),(G112*(1+$H$5))))</f>
        <v>1015.9808399999999</v>
      </c>
      <c r="K112" s="192">
        <f>ROUND((IF(C112="","",F112*J112)),2)</f>
        <v>7924.65</v>
      </c>
      <c r="L112" s="250">
        <f>IF(C112="","",K112/$K$734)</f>
        <v>7.9788399752269876E-4</v>
      </c>
    </row>
    <row r="113" spans="1:12" s="3" customFormat="1" ht="30">
      <c r="A113" s="28" t="s">
        <v>320</v>
      </c>
      <c r="B113" s="28" t="s">
        <v>3</v>
      </c>
      <c r="C113" s="43" t="s">
        <v>321</v>
      </c>
      <c r="D113" s="193" t="s">
        <v>322</v>
      </c>
      <c r="E113" s="194" t="s">
        <v>180</v>
      </c>
      <c r="F113" s="195">
        <f>40-F115</f>
        <v>29.25</v>
      </c>
      <c r="G113" s="191">
        <v>451.47</v>
      </c>
      <c r="H113" s="192">
        <f>IF(B113="","",F113*G113)</f>
        <v>13205.497500000001</v>
      </c>
      <c r="I113" s="192" t="s">
        <v>12</v>
      </c>
      <c r="J113" s="192">
        <f>IF(E113="","",IF(I113=$G$4,(G113*(1+$H$4)),(G113*(1+$H$5))))</f>
        <v>560.72574000000009</v>
      </c>
      <c r="K113" s="192">
        <f>ROUND((IF(C113="","",F113*J113)),2)</f>
        <v>16401.23</v>
      </c>
      <c r="L113" s="250">
        <f>IF(C113="","",K113/$K$734)</f>
        <v>1.6513384132661017E-3</v>
      </c>
    </row>
    <row r="114" spans="1:12" s="3" customFormat="1">
      <c r="A114" s="28" t="s">
        <v>323</v>
      </c>
      <c r="B114" s="28" t="s">
        <v>3</v>
      </c>
      <c r="C114" s="43" t="s">
        <v>324</v>
      </c>
      <c r="D114" s="193" t="s">
        <v>325</v>
      </c>
      <c r="E114" s="194" t="s">
        <v>180</v>
      </c>
      <c r="F114" s="195">
        <f>F113</f>
        <v>29.25</v>
      </c>
      <c r="G114" s="191">
        <v>42.99</v>
      </c>
      <c r="H114" s="192">
        <f>IF(B114="","",F114*G114)</f>
        <v>1257.4575</v>
      </c>
      <c r="I114" s="192" t="s">
        <v>12</v>
      </c>
      <c r="J114" s="192">
        <f>IF(E114="","",IF(I114=$G$4,(G114*(1+$H$4)),(G114*(1+$H$5))))</f>
        <v>53.39358</v>
      </c>
      <c r="K114" s="192">
        <f>ROUND((IF(C114="","",F114*J114)),2)</f>
        <v>1561.76</v>
      </c>
      <c r="L114" s="250">
        <f>IF(C114="","",K114/$K$734)</f>
        <v>1.5724395550226826E-4</v>
      </c>
    </row>
    <row r="115" spans="1:12" s="3" customFormat="1" ht="45">
      <c r="A115" s="28" t="s">
        <v>326</v>
      </c>
      <c r="B115" s="28" t="s">
        <v>2</v>
      </c>
      <c r="C115" s="43">
        <v>92847</v>
      </c>
      <c r="D115" s="193" t="s">
        <v>327</v>
      </c>
      <c r="E115" s="194" t="s">
        <v>180</v>
      </c>
      <c r="F115" s="195">
        <v>10.75</v>
      </c>
      <c r="G115" s="191">
        <v>1027.0899999999999</v>
      </c>
      <c r="H115" s="192">
        <f>IF(B115="","",F115*G115)</f>
        <v>11041.217499999999</v>
      </c>
      <c r="I115" s="192" t="s">
        <v>12</v>
      </c>
      <c r="J115" s="192">
        <f>IF(E115="","",IF(I115=$G$4,(G115*(1+$H$4)),(G115*(1+$H$5))))</f>
        <v>1275.6457799999998</v>
      </c>
      <c r="K115" s="192">
        <f>ROUND((IF(C115="","",F115*J115)),2)</f>
        <v>13713.19</v>
      </c>
      <c r="L115" s="250">
        <f>IF(C115="","",K115/$K$734)</f>
        <v>1.380696290181686E-3</v>
      </c>
    </row>
    <row r="116" spans="1:12" s="3" customFormat="1">
      <c r="A116" s="43" t="s">
        <v>151</v>
      </c>
      <c r="B116" s="120" t="s">
        <v>34</v>
      </c>
      <c r="C116" s="120" t="s">
        <v>34</v>
      </c>
      <c r="D116" s="245" t="s">
        <v>34</v>
      </c>
      <c r="E116" s="120" t="s">
        <v>34</v>
      </c>
      <c r="F116" s="243"/>
      <c r="G116" s="120"/>
      <c r="H116" s="244"/>
      <c r="I116" s="244"/>
      <c r="J116" s="244"/>
      <c r="K116" s="246"/>
      <c r="L116" s="251"/>
    </row>
    <row r="117" spans="1:12" s="3" customFormat="1">
      <c r="A117" s="32" t="s">
        <v>66</v>
      </c>
      <c r="B117" s="32" t="s">
        <v>34</v>
      </c>
      <c r="C117" s="32" t="s">
        <v>34</v>
      </c>
      <c r="D117" s="34" t="s">
        <v>328</v>
      </c>
      <c r="E117" s="33" t="s">
        <v>34</v>
      </c>
      <c r="F117" s="33"/>
      <c r="G117" s="29"/>
      <c r="H117" s="30"/>
      <c r="I117" s="30"/>
      <c r="J117" s="30"/>
      <c r="K117" s="31">
        <f>ROUND((K118+K132),2)</f>
        <v>620110.11</v>
      </c>
      <c r="L117" s="249">
        <f>L118+L132</f>
        <v>6.2435051828287749E-2</v>
      </c>
    </row>
    <row r="118" spans="1:12" s="3" customFormat="1">
      <c r="A118" s="35" t="s">
        <v>67</v>
      </c>
      <c r="B118" s="64" t="s">
        <v>34</v>
      </c>
      <c r="C118" s="64" t="s">
        <v>34</v>
      </c>
      <c r="D118" s="36" t="s">
        <v>68</v>
      </c>
      <c r="E118" s="37" t="s">
        <v>34</v>
      </c>
      <c r="F118" s="38"/>
      <c r="G118" s="37" t="s">
        <v>34</v>
      </c>
      <c r="H118" s="39"/>
      <c r="I118" s="39"/>
      <c r="J118" s="39"/>
      <c r="K118" s="40">
        <f>SUM(K119:K131)</f>
        <v>541455.07999999996</v>
      </c>
      <c r="L118" s="247">
        <f>SUM(L119:L131)</f>
        <v>5.451576330934145E-2</v>
      </c>
    </row>
    <row r="119" spans="1:12" s="3" customFormat="1" ht="30">
      <c r="A119" s="28" t="s">
        <v>329</v>
      </c>
      <c r="B119" s="28" t="s">
        <v>3</v>
      </c>
      <c r="C119" s="43" t="s">
        <v>330</v>
      </c>
      <c r="D119" s="193" t="s">
        <v>331</v>
      </c>
      <c r="E119" s="194" t="s">
        <v>180</v>
      </c>
      <c r="F119" s="195">
        <f>25*4*2</f>
        <v>200</v>
      </c>
      <c r="G119" s="191">
        <v>7.93</v>
      </c>
      <c r="H119" s="192">
        <f t="shared" ref="H119:H131" si="16">IF(B119="","",F119*G119)</f>
        <v>1586</v>
      </c>
      <c r="I119" s="192" t="s">
        <v>12</v>
      </c>
      <c r="J119" s="192">
        <f t="shared" ref="J119:J131" si="17">IF(E119="","",IF(I119=$G$4,(G119*(1+$H$4)),(G119*(1+$H$5))))</f>
        <v>9.8490599999999997</v>
      </c>
      <c r="K119" s="192">
        <f t="shared" ref="K119:K131" si="18">ROUND((IF(C119="","",F119*J119)),2)</f>
        <v>1969.81</v>
      </c>
      <c r="L119" s="250">
        <f t="shared" ref="L119:L131" si="19">IF(C119="","",K119/$K$734)</f>
        <v>1.9832798636661397E-4</v>
      </c>
    </row>
    <row r="120" spans="1:12" s="3" customFormat="1" ht="30">
      <c r="A120" s="28" t="s">
        <v>332</v>
      </c>
      <c r="B120" s="28" t="s">
        <v>3</v>
      </c>
      <c r="C120" s="43" t="s">
        <v>333</v>
      </c>
      <c r="D120" s="193" t="s">
        <v>334</v>
      </c>
      <c r="E120" s="194" t="s">
        <v>180</v>
      </c>
      <c r="F120" s="195">
        <f>25*4*3</f>
        <v>300</v>
      </c>
      <c r="G120" s="191">
        <v>13.07</v>
      </c>
      <c r="H120" s="192">
        <f t="shared" si="16"/>
        <v>3921</v>
      </c>
      <c r="I120" s="192" t="s">
        <v>12</v>
      </c>
      <c r="J120" s="192">
        <f t="shared" si="17"/>
        <v>16.232939999999999</v>
      </c>
      <c r="K120" s="192">
        <f t="shared" si="18"/>
        <v>4869.88</v>
      </c>
      <c r="L120" s="250">
        <f t="shared" si="19"/>
        <v>4.9031809882529084E-4</v>
      </c>
    </row>
    <row r="121" spans="1:12" s="3" customFormat="1" ht="30">
      <c r="A121" s="28" t="s">
        <v>335</v>
      </c>
      <c r="B121" s="28" t="s">
        <v>3</v>
      </c>
      <c r="C121" s="43" t="s">
        <v>336</v>
      </c>
      <c r="D121" s="193" t="s">
        <v>337</v>
      </c>
      <c r="E121" s="194" t="s">
        <v>180</v>
      </c>
      <c r="F121" s="195">
        <f>40</f>
        <v>40</v>
      </c>
      <c r="G121" s="191">
        <v>34.17</v>
      </c>
      <c r="H121" s="192">
        <f t="shared" si="16"/>
        <v>1366.8000000000002</v>
      </c>
      <c r="I121" s="192" t="s">
        <v>12</v>
      </c>
      <c r="J121" s="192">
        <f t="shared" si="17"/>
        <v>42.439140000000002</v>
      </c>
      <c r="K121" s="192">
        <f t="shared" si="18"/>
        <v>1697.57</v>
      </c>
      <c r="L121" s="250">
        <f t="shared" si="19"/>
        <v>1.7091782446853902E-4</v>
      </c>
    </row>
    <row r="122" spans="1:12" s="3" customFormat="1" ht="30">
      <c r="A122" s="28" t="s">
        <v>338</v>
      </c>
      <c r="B122" s="28" t="s">
        <v>3</v>
      </c>
      <c r="C122" s="43" t="s">
        <v>339</v>
      </c>
      <c r="D122" s="193" t="s">
        <v>340</v>
      </c>
      <c r="E122" s="194" t="s">
        <v>180</v>
      </c>
      <c r="F122" s="195">
        <v>73.56</v>
      </c>
      <c r="G122" s="191">
        <v>65.7</v>
      </c>
      <c r="H122" s="192">
        <f t="shared" si="16"/>
        <v>4832.8920000000007</v>
      </c>
      <c r="I122" s="192" t="s">
        <v>12</v>
      </c>
      <c r="J122" s="192">
        <f t="shared" si="17"/>
        <v>81.599400000000003</v>
      </c>
      <c r="K122" s="192">
        <f t="shared" si="18"/>
        <v>6002.45</v>
      </c>
      <c r="L122" s="250">
        <f t="shared" si="19"/>
        <v>6.0434956760615588E-4</v>
      </c>
    </row>
    <row r="123" spans="1:12" s="3" customFormat="1" ht="30">
      <c r="A123" s="28" t="s">
        <v>341</v>
      </c>
      <c r="B123" s="28" t="s">
        <v>3</v>
      </c>
      <c r="C123" s="43" t="s">
        <v>342</v>
      </c>
      <c r="D123" s="193" t="s">
        <v>343</v>
      </c>
      <c r="E123" s="194" t="s">
        <v>180</v>
      </c>
      <c r="F123" s="195">
        <f>55*5</f>
        <v>275</v>
      </c>
      <c r="G123" s="191">
        <v>85.7</v>
      </c>
      <c r="H123" s="192">
        <f t="shared" si="16"/>
        <v>23567.5</v>
      </c>
      <c r="I123" s="192" t="s">
        <v>12</v>
      </c>
      <c r="J123" s="192">
        <f t="shared" si="17"/>
        <v>106.43940000000001</v>
      </c>
      <c r="K123" s="192">
        <f t="shared" si="18"/>
        <v>29270.84</v>
      </c>
      <c r="L123" s="250">
        <f t="shared" si="19"/>
        <v>2.9470998504725525E-3</v>
      </c>
    </row>
    <row r="124" spans="1:12" s="3" customFormat="1" ht="30">
      <c r="A124" s="28" t="s">
        <v>344</v>
      </c>
      <c r="B124" s="28" t="s">
        <v>3</v>
      </c>
      <c r="C124" s="43" t="s">
        <v>345</v>
      </c>
      <c r="D124" s="193" t="s">
        <v>346</v>
      </c>
      <c r="E124" s="194" t="s">
        <v>180</v>
      </c>
      <c r="F124" s="195">
        <f>55*3*5</f>
        <v>825</v>
      </c>
      <c r="G124" s="191">
        <v>149.82</v>
      </c>
      <c r="H124" s="192">
        <f t="shared" si="16"/>
        <v>123601.5</v>
      </c>
      <c r="I124" s="192" t="s">
        <v>12</v>
      </c>
      <c r="J124" s="192">
        <f t="shared" si="17"/>
        <v>186.07643999999999</v>
      </c>
      <c r="K124" s="192">
        <f t="shared" si="18"/>
        <v>153513.06</v>
      </c>
      <c r="L124" s="250">
        <f t="shared" si="19"/>
        <v>1.5456280590908358E-2</v>
      </c>
    </row>
    <row r="125" spans="1:12" s="3" customFormat="1">
      <c r="A125" s="28" t="s">
        <v>347</v>
      </c>
      <c r="B125" s="28" t="s">
        <v>3</v>
      </c>
      <c r="C125" s="43" t="s">
        <v>348</v>
      </c>
      <c r="D125" s="193" t="s">
        <v>349</v>
      </c>
      <c r="E125" s="194" t="s">
        <v>163</v>
      </c>
      <c r="F125" s="195">
        <v>12</v>
      </c>
      <c r="G125" s="191">
        <v>75.349999999999994</v>
      </c>
      <c r="H125" s="192">
        <f t="shared" si="16"/>
        <v>904.19999999999993</v>
      </c>
      <c r="I125" s="192" t="s">
        <v>12</v>
      </c>
      <c r="J125" s="192">
        <f t="shared" si="17"/>
        <v>93.584699999999998</v>
      </c>
      <c r="K125" s="192">
        <f t="shared" si="18"/>
        <v>1123.02</v>
      </c>
      <c r="L125" s="250">
        <f t="shared" si="19"/>
        <v>1.130699383440204E-4</v>
      </c>
    </row>
    <row r="126" spans="1:12" s="3" customFormat="1" ht="45">
      <c r="A126" s="28" t="s">
        <v>350</v>
      </c>
      <c r="B126" s="28" t="s">
        <v>3</v>
      </c>
      <c r="C126" s="43" t="s">
        <v>351</v>
      </c>
      <c r="D126" s="193" t="s">
        <v>352</v>
      </c>
      <c r="E126" s="194" t="s">
        <v>180</v>
      </c>
      <c r="F126" s="195">
        <v>25</v>
      </c>
      <c r="G126" s="191">
        <v>113.24</v>
      </c>
      <c r="H126" s="192">
        <f t="shared" si="16"/>
        <v>2831</v>
      </c>
      <c r="I126" s="192" t="s">
        <v>12</v>
      </c>
      <c r="J126" s="192">
        <f t="shared" si="17"/>
        <v>140.64408</v>
      </c>
      <c r="K126" s="192">
        <f t="shared" si="18"/>
        <v>3516.1</v>
      </c>
      <c r="L126" s="250">
        <f t="shared" si="19"/>
        <v>3.5401436324500909E-4</v>
      </c>
    </row>
    <row r="127" spans="1:12" s="3" customFormat="1" ht="45">
      <c r="A127" s="28" t="s">
        <v>353</v>
      </c>
      <c r="B127" s="28" t="s">
        <v>3</v>
      </c>
      <c r="C127" s="43" t="s">
        <v>354</v>
      </c>
      <c r="D127" s="193" t="s">
        <v>355</v>
      </c>
      <c r="E127" s="194" t="s">
        <v>167</v>
      </c>
      <c r="F127" s="195">
        <v>60</v>
      </c>
      <c r="G127" s="191">
        <v>168.71</v>
      </c>
      <c r="H127" s="192">
        <f t="shared" si="16"/>
        <v>10122.6</v>
      </c>
      <c r="I127" s="192" t="s">
        <v>12</v>
      </c>
      <c r="J127" s="192">
        <f t="shared" si="17"/>
        <v>209.53782000000001</v>
      </c>
      <c r="K127" s="192">
        <f t="shared" si="18"/>
        <v>12572.27</v>
      </c>
      <c r="L127" s="250">
        <f t="shared" si="19"/>
        <v>1.2658241115424279E-3</v>
      </c>
    </row>
    <row r="128" spans="1:12" s="3" customFormat="1">
      <c r="A128" s="28" t="s">
        <v>356</v>
      </c>
      <c r="B128" s="28" t="s">
        <v>160</v>
      </c>
      <c r="C128" s="43" t="s">
        <v>357</v>
      </c>
      <c r="D128" s="193" t="str">
        <f>'Composições - CCU'!C252</f>
        <v>QUADRO ELÉTRICO TIPO CCM QDC-CAG</v>
      </c>
      <c r="E128" s="194" t="s">
        <v>167</v>
      </c>
      <c r="F128" s="195">
        <v>1</v>
      </c>
      <c r="G128" s="191">
        <f>'Composições - CCU'!F252</f>
        <v>260894.667693</v>
      </c>
      <c r="H128" s="192">
        <f t="shared" si="16"/>
        <v>260894.667693</v>
      </c>
      <c r="I128" s="192" t="s">
        <v>12</v>
      </c>
      <c r="J128" s="192">
        <f t="shared" si="17"/>
        <v>324031.17727470602</v>
      </c>
      <c r="K128" s="192">
        <f t="shared" si="18"/>
        <v>324031.18</v>
      </c>
      <c r="L128" s="250">
        <f t="shared" si="19"/>
        <v>3.262469550332156E-2</v>
      </c>
    </row>
    <row r="129" spans="1:12" s="3" customFormat="1">
      <c r="A129" s="28" t="s">
        <v>358</v>
      </c>
      <c r="B129" s="28" t="s">
        <v>3</v>
      </c>
      <c r="C129" s="43" t="s">
        <v>359</v>
      </c>
      <c r="D129" s="193" t="s">
        <v>360</v>
      </c>
      <c r="E129" s="194" t="s">
        <v>180</v>
      </c>
      <c r="F129" s="195">
        <f>10*2</f>
        <v>20</v>
      </c>
      <c r="G129" s="191">
        <v>21.59</v>
      </c>
      <c r="H129" s="192">
        <f t="shared" si="16"/>
        <v>431.8</v>
      </c>
      <c r="I129" s="192" t="s">
        <v>12</v>
      </c>
      <c r="J129" s="192">
        <f t="shared" si="17"/>
        <v>26.814779999999999</v>
      </c>
      <c r="K129" s="192">
        <f t="shared" si="18"/>
        <v>536.29999999999995</v>
      </c>
      <c r="L129" s="250">
        <f t="shared" si="19"/>
        <v>5.3996730186370796E-5</v>
      </c>
    </row>
    <row r="130" spans="1:12" s="3" customFormat="1">
      <c r="A130" s="28" t="s">
        <v>361</v>
      </c>
      <c r="B130" s="28" t="s">
        <v>3</v>
      </c>
      <c r="C130" s="43" t="s">
        <v>362</v>
      </c>
      <c r="D130" s="193" t="s">
        <v>363</v>
      </c>
      <c r="E130" s="194" t="s">
        <v>180</v>
      </c>
      <c r="F130" s="195">
        <v>30</v>
      </c>
      <c r="G130" s="191">
        <v>25.56</v>
      </c>
      <c r="H130" s="192">
        <f t="shared" si="16"/>
        <v>766.8</v>
      </c>
      <c r="I130" s="192" t="s">
        <v>12</v>
      </c>
      <c r="J130" s="192">
        <f t="shared" si="17"/>
        <v>31.745519999999999</v>
      </c>
      <c r="K130" s="192">
        <f t="shared" si="18"/>
        <v>952.37</v>
      </c>
      <c r="L130" s="250">
        <f t="shared" si="19"/>
        <v>9.5888245250035355E-5</v>
      </c>
    </row>
    <row r="131" spans="1:12" s="3" customFormat="1">
      <c r="A131" s="28" t="s">
        <v>364</v>
      </c>
      <c r="B131" s="28" t="s">
        <v>3</v>
      </c>
      <c r="C131" s="43" t="s">
        <v>214</v>
      </c>
      <c r="D131" s="193" t="s">
        <v>365</v>
      </c>
      <c r="E131" s="194" t="s">
        <v>180</v>
      </c>
      <c r="F131" s="195">
        <v>30</v>
      </c>
      <c r="G131" s="191">
        <v>37.58</v>
      </c>
      <c r="H131" s="192">
        <f t="shared" si="16"/>
        <v>1127.3999999999999</v>
      </c>
      <c r="I131" s="192" t="s">
        <v>12</v>
      </c>
      <c r="J131" s="192">
        <f t="shared" si="17"/>
        <v>46.67436</v>
      </c>
      <c r="K131" s="192">
        <f t="shared" si="18"/>
        <v>1400.23</v>
      </c>
      <c r="L131" s="250">
        <f t="shared" si="19"/>
        <v>1.4098049880451611E-4</v>
      </c>
    </row>
    <row r="132" spans="1:12" s="3" customFormat="1">
      <c r="A132" s="35" t="s">
        <v>69</v>
      </c>
      <c r="B132" s="64" t="s">
        <v>34</v>
      </c>
      <c r="C132" s="64" t="s">
        <v>34</v>
      </c>
      <c r="D132" s="36" t="s">
        <v>366</v>
      </c>
      <c r="E132" s="37" t="s">
        <v>34</v>
      </c>
      <c r="F132" s="38"/>
      <c r="G132" s="37" t="s">
        <v>34</v>
      </c>
      <c r="H132" s="39"/>
      <c r="I132" s="39"/>
      <c r="J132" s="39"/>
      <c r="K132" s="40">
        <f>SUM(K133:K141)</f>
        <v>78655.03</v>
      </c>
      <c r="L132" s="247">
        <f>SUM(L133:L141)</f>
        <v>7.9192885189463009E-3</v>
      </c>
    </row>
    <row r="133" spans="1:12" s="3" customFormat="1" ht="30">
      <c r="A133" s="28" t="s">
        <v>367</v>
      </c>
      <c r="B133" s="28" t="s">
        <v>3</v>
      </c>
      <c r="C133" s="43" t="s">
        <v>368</v>
      </c>
      <c r="D133" s="193" t="s">
        <v>369</v>
      </c>
      <c r="E133" s="194" t="s">
        <v>180</v>
      </c>
      <c r="F133" s="195">
        <v>20</v>
      </c>
      <c r="G133" s="191">
        <v>62.08</v>
      </c>
      <c r="H133" s="192">
        <f t="shared" ref="H133:H139" si="20">IF(B133="","",F133*G133)</f>
        <v>1241.5999999999999</v>
      </c>
      <c r="I133" s="192" t="s">
        <v>12</v>
      </c>
      <c r="J133" s="192">
        <f t="shared" ref="J133:J146" si="21">IF(E133="","",IF(I133=$G$4,(G133*(1+$H$4)),(G133*(1+$H$5))))</f>
        <v>77.103359999999995</v>
      </c>
      <c r="K133" s="192">
        <f t="shared" ref="K133:K146" si="22">ROUND((IF(C133="","",F133*J133)),2)</f>
        <v>1542.07</v>
      </c>
      <c r="L133" s="250">
        <f t="shared" ref="L133:L141" si="23">IF(C133="","",K133/$K$734)</f>
        <v>1.5526149117750667E-4</v>
      </c>
    </row>
    <row r="134" spans="1:12" s="3" customFormat="1">
      <c r="A134" s="28" t="s">
        <v>370</v>
      </c>
      <c r="B134" s="28" t="s">
        <v>2</v>
      </c>
      <c r="C134" s="43">
        <v>98305</v>
      </c>
      <c r="D134" s="193" t="s">
        <v>371</v>
      </c>
      <c r="E134" s="194" t="s">
        <v>167</v>
      </c>
      <c r="F134" s="195">
        <v>1</v>
      </c>
      <c r="G134" s="191">
        <v>2414.29</v>
      </c>
      <c r="H134" s="192">
        <f t="shared" si="20"/>
        <v>2414.29</v>
      </c>
      <c r="I134" s="192" t="s">
        <v>12</v>
      </c>
      <c r="J134" s="192">
        <f t="shared" si="21"/>
        <v>2998.5481799999998</v>
      </c>
      <c r="K134" s="192">
        <f t="shared" si="22"/>
        <v>2998.55</v>
      </c>
      <c r="L134" s="250">
        <f t="shared" si="23"/>
        <v>3.0190545459694607E-4</v>
      </c>
    </row>
    <row r="135" spans="1:12" s="3" customFormat="1" ht="30">
      <c r="A135" s="28" t="s">
        <v>372</v>
      </c>
      <c r="B135" s="28" t="s">
        <v>3</v>
      </c>
      <c r="C135" s="43" t="s">
        <v>373</v>
      </c>
      <c r="D135" s="193" t="s">
        <v>374</v>
      </c>
      <c r="E135" s="194" t="s">
        <v>180</v>
      </c>
      <c r="F135" s="195">
        <v>50</v>
      </c>
      <c r="G135" s="191">
        <v>30.13</v>
      </c>
      <c r="H135" s="192">
        <f t="shared" si="20"/>
        <v>1506.5</v>
      </c>
      <c r="I135" s="192" t="s">
        <v>12</v>
      </c>
      <c r="J135" s="192">
        <f t="shared" si="21"/>
        <v>37.421459999999996</v>
      </c>
      <c r="K135" s="192">
        <f t="shared" si="22"/>
        <v>1871.07</v>
      </c>
      <c r="L135" s="250">
        <f t="shared" si="23"/>
        <v>1.8838646643634684E-4</v>
      </c>
    </row>
    <row r="136" spans="1:12" s="3" customFormat="1" ht="30">
      <c r="A136" s="28" t="s">
        <v>375</v>
      </c>
      <c r="B136" s="28" t="s">
        <v>3</v>
      </c>
      <c r="C136" s="43" t="s">
        <v>376</v>
      </c>
      <c r="D136" s="193" t="s">
        <v>377</v>
      </c>
      <c r="E136" s="194" t="s">
        <v>167</v>
      </c>
      <c r="F136" s="195">
        <v>2</v>
      </c>
      <c r="G136" s="191">
        <v>29.31</v>
      </c>
      <c r="H136" s="192">
        <f t="shared" si="20"/>
        <v>58.62</v>
      </c>
      <c r="I136" s="192" t="s">
        <v>12</v>
      </c>
      <c r="J136" s="192">
        <f t="shared" ref="J136:J137" si="24">IF(E136="","",IF(I136=$G$4,(G136*(1+$H$4)),(G136*(1+$H$5))))</f>
        <v>36.403019999999998</v>
      </c>
      <c r="K136" s="192">
        <f t="shared" ref="K136:K137" si="25">ROUND((IF(C136="","",F136*J136)),2)</f>
        <v>72.81</v>
      </c>
      <c r="L136" s="250">
        <f t="shared" si="23"/>
        <v>7.3307885975566999E-6</v>
      </c>
    </row>
    <row r="137" spans="1:12" s="3" customFormat="1">
      <c r="A137" s="28" t="s">
        <v>378</v>
      </c>
      <c r="B137" s="28" t="s">
        <v>2</v>
      </c>
      <c r="C137" s="43">
        <v>98297</v>
      </c>
      <c r="D137" s="193" t="s">
        <v>379</v>
      </c>
      <c r="E137" s="194" t="s">
        <v>180</v>
      </c>
      <c r="F137" s="195">
        <v>120</v>
      </c>
      <c r="G137" s="191">
        <v>7.05</v>
      </c>
      <c r="H137" s="192">
        <f t="shared" si="20"/>
        <v>846</v>
      </c>
      <c r="I137" s="192" t="s">
        <v>12</v>
      </c>
      <c r="J137" s="192">
        <f t="shared" si="24"/>
        <v>8.7561</v>
      </c>
      <c r="K137" s="192">
        <f t="shared" si="25"/>
        <v>1050.73</v>
      </c>
      <c r="L137" s="250">
        <f t="shared" si="23"/>
        <v>1.0579150533045943E-4</v>
      </c>
    </row>
    <row r="138" spans="1:12" s="3" customFormat="1" ht="119.25" customHeight="1">
      <c r="A138" s="28" t="s">
        <v>380</v>
      </c>
      <c r="B138" s="28" t="s">
        <v>160</v>
      </c>
      <c r="C138" s="43" t="s">
        <v>381</v>
      </c>
      <c r="D138" s="193" t="str">
        <f>'Composições - CCU'!C323</f>
        <v>SISTEMA DE CONTROLE SCP50-OPEN, PARA CONTROLE DA Conforme Lista de Materiais Climatização - CAG (CHILLER, BOMBAS PRIMÁRIAS E SECUNDÁRIAS), COMPLETO COM TODOS OS DISPOSITIVOS E SOFTWARE MONTADO EM PAINEL METALICO CLASSE DE PROTEÇÃO IP-65.  REF.: CARRIER OU EQUIVALENTEBOMBAS CENTRÍFUGASBOMBA CENTRÍFUGA, SUCÇÃO HORIZONTAL, DECARGA VERTICAL PARA CIMA, COM MOTOR ELÉTRICOMODELO NBG 125-100-315/334 AASJ2AESBQQESX4 - BAGS-01 E BAGS-02VAZÃO DE ÁGUA = 205 M3/HALTURA MANOMÉTRICA = 37,25 MCA</v>
      </c>
      <c r="E138" s="194" t="s">
        <v>167</v>
      </c>
      <c r="F138" s="195">
        <v>1</v>
      </c>
      <c r="G138" s="191">
        <f>'Composições - CCU'!F323</f>
        <v>36830.719999999994</v>
      </c>
      <c r="H138" s="192">
        <f t="shared" si="20"/>
        <v>36830.719999999994</v>
      </c>
      <c r="I138" s="192" t="s">
        <v>12</v>
      </c>
      <c r="J138" s="192">
        <f t="shared" si="21"/>
        <v>45743.754239999995</v>
      </c>
      <c r="K138" s="192">
        <f t="shared" si="22"/>
        <v>45743.75</v>
      </c>
      <c r="L138" s="250">
        <f t="shared" si="23"/>
        <v>4.6056552796248356E-3</v>
      </c>
    </row>
    <row r="139" spans="1:12" s="3" customFormat="1" ht="30">
      <c r="A139" s="28" t="s">
        <v>382</v>
      </c>
      <c r="B139" s="28" t="s">
        <v>2</v>
      </c>
      <c r="C139" s="43">
        <v>2708</v>
      </c>
      <c r="D139" s="193" t="s">
        <v>383</v>
      </c>
      <c r="E139" s="194" t="s">
        <v>137</v>
      </c>
      <c r="F139" s="195">
        <v>44</v>
      </c>
      <c r="G139" s="191">
        <v>128.32</v>
      </c>
      <c r="H139" s="192">
        <f t="shared" si="20"/>
        <v>5646.08</v>
      </c>
      <c r="I139" s="192" t="s">
        <v>12</v>
      </c>
      <c r="J139" s="192">
        <f t="shared" si="21"/>
        <v>159.37343999999999</v>
      </c>
      <c r="K139" s="192">
        <f t="shared" si="22"/>
        <v>7012.43</v>
      </c>
      <c r="L139" s="250">
        <f t="shared" si="23"/>
        <v>7.0603820746002657E-4</v>
      </c>
    </row>
    <row r="140" spans="1:12" s="3" customFormat="1" ht="30">
      <c r="A140" s="28" t="s">
        <v>384</v>
      </c>
      <c r="B140" s="28" t="s">
        <v>160</v>
      </c>
      <c r="C140" s="43" t="s">
        <v>385</v>
      </c>
      <c r="D140" s="193" t="s">
        <v>386</v>
      </c>
      <c r="E140" s="194" t="s">
        <v>167</v>
      </c>
      <c r="F140" s="195">
        <v>1</v>
      </c>
      <c r="G140" s="191">
        <f>'Composições - CCU'!F345</f>
        <v>11734.07</v>
      </c>
      <c r="H140" s="192">
        <v>1</v>
      </c>
      <c r="I140" s="192" t="s">
        <v>12</v>
      </c>
      <c r="J140" s="192">
        <f t="shared" si="21"/>
        <v>14573.71494</v>
      </c>
      <c r="K140" s="192">
        <f t="shared" si="22"/>
        <v>14573.71</v>
      </c>
      <c r="L140" s="250">
        <f t="shared" si="23"/>
        <v>1.4673367269893978E-3</v>
      </c>
    </row>
    <row r="141" spans="1:12" s="3" customFormat="1">
      <c r="A141" s="28" t="s">
        <v>387</v>
      </c>
      <c r="B141" s="28" t="s">
        <v>160</v>
      </c>
      <c r="C141" s="43" t="s">
        <v>388</v>
      </c>
      <c r="D141" s="193" t="s">
        <v>389</v>
      </c>
      <c r="E141" s="194" t="s">
        <v>167</v>
      </c>
      <c r="F141" s="195">
        <v>1</v>
      </c>
      <c r="G141" s="191">
        <f>'Composições - CCU'!F367</f>
        <v>3051.46</v>
      </c>
      <c r="H141" s="192">
        <v>1</v>
      </c>
      <c r="I141" s="192" t="s">
        <v>12</v>
      </c>
      <c r="J141" s="192">
        <f t="shared" si="21"/>
        <v>3789.9133200000001</v>
      </c>
      <c r="K141" s="192">
        <f t="shared" si="22"/>
        <v>3789.91</v>
      </c>
      <c r="L141" s="250">
        <f t="shared" si="23"/>
        <v>3.8158259873322499E-4</v>
      </c>
    </row>
    <row r="142" spans="1:12" s="3" customFormat="1">
      <c r="A142" s="43" t="s">
        <v>151</v>
      </c>
      <c r="B142" s="120" t="s">
        <v>34</v>
      </c>
      <c r="C142" s="120" t="s">
        <v>34</v>
      </c>
      <c r="D142" s="245" t="s">
        <v>34</v>
      </c>
      <c r="E142" s="120" t="s">
        <v>34</v>
      </c>
      <c r="F142" s="243"/>
      <c r="G142" s="120"/>
      <c r="H142" s="244"/>
      <c r="I142" s="244"/>
      <c r="J142" s="244"/>
      <c r="K142" s="246"/>
      <c r="L142" s="251"/>
    </row>
    <row r="143" spans="1:12" s="3" customFormat="1">
      <c r="A143" s="32" t="s">
        <v>71</v>
      </c>
      <c r="B143" s="32" t="s">
        <v>34</v>
      </c>
      <c r="C143" s="32" t="s">
        <v>34</v>
      </c>
      <c r="D143" s="34" t="s">
        <v>72</v>
      </c>
      <c r="E143" s="33" t="s">
        <v>34</v>
      </c>
      <c r="F143" s="33"/>
      <c r="G143" s="29"/>
      <c r="H143" s="30"/>
      <c r="I143" s="30"/>
      <c r="J143" s="30"/>
      <c r="K143" s="31">
        <f>ROUND((K144+K155+K170),2)</f>
        <v>3587978.61</v>
      </c>
      <c r="L143" s="249">
        <f>L144+L155+L170</f>
        <v>0.36125137594376233</v>
      </c>
    </row>
    <row r="144" spans="1:12" s="3" customFormat="1">
      <c r="A144" s="35" t="s">
        <v>73</v>
      </c>
      <c r="B144" s="64" t="s">
        <v>34</v>
      </c>
      <c r="C144" s="64" t="s">
        <v>34</v>
      </c>
      <c r="D144" s="36" t="s">
        <v>74</v>
      </c>
      <c r="E144" s="37" t="s">
        <v>34</v>
      </c>
      <c r="F144" s="38"/>
      <c r="G144" s="37" t="s">
        <v>34</v>
      </c>
      <c r="H144" s="39"/>
      <c r="I144" s="39"/>
      <c r="J144" s="39"/>
      <c r="K144" s="40">
        <f>SUM(K145:K154)</f>
        <v>2844010.5999999996</v>
      </c>
      <c r="L144" s="247">
        <f>SUM(L145:L153)</f>
        <v>0.28634583817896425</v>
      </c>
    </row>
    <row r="145" spans="1:12" s="3" customFormat="1">
      <c r="A145" s="134" t="s">
        <v>390</v>
      </c>
      <c r="B145" s="206" t="s">
        <v>34</v>
      </c>
      <c r="C145" s="206" t="s">
        <v>34</v>
      </c>
      <c r="D145" s="459" t="s">
        <v>391</v>
      </c>
      <c r="E145" s="455" t="s">
        <v>34</v>
      </c>
      <c r="F145" s="460"/>
      <c r="G145" s="455" t="s">
        <v>34</v>
      </c>
      <c r="H145" s="456"/>
      <c r="I145" s="456"/>
      <c r="J145" s="456"/>
      <c r="K145" s="461"/>
      <c r="L145" s="462"/>
    </row>
    <row r="146" spans="1:12" s="3" customFormat="1" ht="105">
      <c r="A146" s="626" t="s">
        <v>392</v>
      </c>
      <c r="B146" s="626" t="s">
        <v>160</v>
      </c>
      <c r="C146" s="627" t="s">
        <v>393</v>
      </c>
      <c r="D146" s="654" t="s">
        <v>3037</v>
      </c>
      <c r="E146" s="625" t="s">
        <v>167</v>
      </c>
      <c r="F146" s="195">
        <v>2</v>
      </c>
      <c r="G146" s="191">
        <f>'Composições - CCU'!F279</f>
        <v>1045522.6064</v>
      </c>
      <c r="H146" s="192">
        <f>IF(B146="","",F146*G146)</f>
        <v>2091045.2128000001</v>
      </c>
      <c r="I146" s="192" t="s">
        <v>13</v>
      </c>
      <c r="J146" s="192">
        <f t="shared" si="21"/>
        <v>1250654.14177568</v>
      </c>
      <c r="K146" s="192">
        <f t="shared" si="22"/>
        <v>2501308.2799999998</v>
      </c>
      <c r="L146" s="250">
        <f>IF(C146="","",K146/$K$734)</f>
        <v>0.25184126106301552</v>
      </c>
    </row>
    <row r="147" spans="1:12" s="3" customFormat="1">
      <c r="A147" s="626"/>
      <c r="B147" s="627"/>
      <c r="C147" s="627"/>
      <c r="D147" s="654"/>
      <c r="E147" s="625"/>
      <c r="F147" s="655"/>
      <c r="G147" s="191"/>
      <c r="H147" s="192"/>
      <c r="I147" s="192"/>
      <c r="J147" s="192"/>
      <c r="K147" s="192"/>
      <c r="L147" s="250"/>
    </row>
    <row r="148" spans="1:12" s="3" customFormat="1">
      <c r="A148" s="134" t="s">
        <v>395</v>
      </c>
      <c r="B148" s="206" t="s">
        <v>34</v>
      </c>
      <c r="C148" s="206" t="s">
        <v>34</v>
      </c>
      <c r="D148" s="459" t="s">
        <v>396</v>
      </c>
      <c r="E148" s="455" t="s">
        <v>34</v>
      </c>
      <c r="F148" s="460"/>
      <c r="G148" s="455" t="s">
        <v>34</v>
      </c>
      <c r="H148" s="456"/>
      <c r="I148" s="456"/>
      <c r="J148" s="456"/>
      <c r="K148" s="461"/>
      <c r="L148" s="462"/>
    </row>
    <row r="149" spans="1:12" s="3" customFormat="1" ht="105">
      <c r="A149" s="626" t="s">
        <v>397</v>
      </c>
      <c r="B149" s="626" t="s">
        <v>160</v>
      </c>
      <c r="C149" s="627" t="s">
        <v>398</v>
      </c>
      <c r="D149" s="654" t="s">
        <v>3038</v>
      </c>
      <c r="E149" s="625" t="s">
        <v>167</v>
      </c>
      <c r="F149" s="195">
        <v>2</v>
      </c>
      <c r="G149" s="191">
        <f>'Composições - CCU'!F390</f>
        <v>71847.284770000013</v>
      </c>
      <c r="H149" s="192">
        <f t="shared" ref="H149:H153" si="26">IF(B149="","",F149*G149)</f>
        <v>143694.56954000003</v>
      </c>
      <c r="I149" s="192" t="s">
        <v>13</v>
      </c>
      <c r="J149" s="192">
        <f t="shared" ref="J149:J169" si="27">IF(E149="","",IF(I149=$G$4,(G149*(1+$H$4)),(G149*(1+$H$5))))</f>
        <v>85943.722041874003</v>
      </c>
      <c r="K149" s="192">
        <f t="shared" ref="K149:K169" si="28">ROUND((IF(C149="","",F149*J149)),2)</f>
        <v>171887.44</v>
      </c>
      <c r="L149" s="250">
        <f t="shared" ref="L149:L153" si="29">IF(C149="","",K149/$K$734)</f>
        <v>1.730628327448443E-2</v>
      </c>
    </row>
    <row r="150" spans="1:12" s="3" customFormat="1">
      <c r="A150" s="626"/>
      <c r="B150" s="626"/>
      <c r="C150" s="627"/>
      <c r="D150" s="654"/>
      <c r="E150" s="625"/>
      <c r="F150" s="195"/>
      <c r="G150" s="616"/>
      <c r="H150" s="192"/>
      <c r="I150" s="192"/>
      <c r="J150" s="192"/>
      <c r="K150" s="192"/>
      <c r="L150" s="250"/>
    </row>
    <row r="151" spans="1:12" s="3" customFormat="1" ht="105">
      <c r="A151" s="626" t="s">
        <v>400</v>
      </c>
      <c r="B151" s="626" t="s">
        <v>160</v>
      </c>
      <c r="C151" s="627" t="s">
        <v>401</v>
      </c>
      <c r="D151" s="654" t="s">
        <v>3039</v>
      </c>
      <c r="E151" s="625" t="s">
        <v>167</v>
      </c>
      <c r="F151" s="195">
        <v>3</v>
      </c>
      <c r="G151" s="191">
        <f>'Composições - CCU'!F442</f>
        <v>32997.284769999998</v>
      </c>
      <c r="H151" s="192">
        <f t="shared" si="26"/>
        <v>98991.854309999995</v>
      </c>
      <c r="I151" s="192" t="s">
        <v>13</v>
      </c>
      <c r="J151" s="192">
        <f t="shared" si="27"/>
        <v>39471.352041873994</v>
      </c>
      <c r="K151" s="192">
        <f t="shared" si="28"/>
        <v>118414.06</v>
      </c>
      <c r="L151" s="250">
        <f t="shared" si="29"/>
        <v>1.1922379355011604E-2</v>
      </c>
    </row>
    <row r="152" spans="1:12" s="3" customFormat="1">
      <c r="A152" s="626"/>
      <c r="B152" s="626"/>
      <c r="C152" s="627"/>
      <c r="D152" s="654"/>
      <c r="E152" s="625"/>
      <c r="F152" s="195"/>
      <c r="G152" s="191"/>
      <c r="H152" s="192"/>
      <c r="I152" s="192"/>
      <c r="J152" s="192"/>
      <c r="K152" s="192"/>
      <c r="L152" s="250"/>
    </row>
    <row r="153" spans="1:12" s="3" customFormat="1" ht="105">
      <c r="A153" s="626" t="s">
        <v>403</v>
      </c>
      <c r="B153" s="626" t="s">
        <v>160</v>
      </c>
      <c r="C153" s="627" t="s">
        <v>404</v>
      </c>
      <c r="D153" s="654" t="s">
        <v>3040</v>
      </c>
      <c r="E153" s="625" t="s">
        <v>167</v>
      </c>
      <c r="F153" s="195">
        <v>2</v>
      </c>
      <c r="G153" s="191">
        <f>'Composições - CCU'!F492</f>
        <v>21903.033751999999</v>
      </c>
      <c r="H153" s="192">
        <f t="shared" si="26"/>
        <v>43806.067503999999</v>
      </c>
      <c r="I153" s="192" t="s">
        <v>13</v>
      </c>
      <c r="J153" s="192">
        <f t="shared" si="27"/>
        <v>26200.408974142396</v>
      </c>
      <c r="K153" s="192">
        <f t="shared" si="28"/>
        <v>52400.82</v>
      </c>
      <c r="L153" s="250">
        <f t="shared" si="29"/>
        <v>5.2759144864526998E-3</v>
      </c>
    </row>
    <row r="154" spans="1:12" s="3" customFormat="1">
      <c r="A154" s="626"/>
      <c r="B154" s="626"/>
      <c r="C154" s="627"/>
      <c r="D154" s="654"/>
      <c r="E154" s="625"/>
      <c r="F154" s="195"/>
      <c r="G154" s="191"/>
      <c r="H154" s="192"/>
      <c r="I154" s="192"/>
      <c r="J154" s="192"/>
      <c r="K154" s="192"/>
      <c r="L154" s="250"/>
    </row>
    <row r="155" spans="1:12" s="3" customFormat="1">
      <c r="A155" s="35" t="s">
        <v>75</v>
      </c>
      <c r="B155" s="64" t="s">
        <v>34</v>
      </c>
      <c r="C155" s="64" t="s">
        <v>34</v>
      </c>
      <c r="D155" s="36" t="s">
        <v>76</v>
      </c>
      <c r="E155" s="37" t="s">
        <v>34</v>
      </c>
      <c r="F155" s="38"/>
      <c r="G155" s="37" t="s">
        <v>34</v>
      </c>
      <c r="H155" s="39"/>
      <c r="I155" s="39"/>
      <c r="J155" s="39"/>
      <c r="K155" s="40">
        <f>SUM(K156:K169)</f>
        <v>113194.35000000002</v>
      </c>
      <c r="L155" s="247">
        <f>SUM(L156:L169)</f>
        <v>1.1396839037053184E-2</v>
      </c>
    </row>
    <row r="156" spans="1:12" s="3" customFormat="1" ht="45">
      <c r="A156" s="28" t="s">
        <v>406</v>
      </c>
      <c r="B156" s="28" t="s">
        <v>160</v>
      </c>
      <c r="C156" s="43" t="s">
        <v>407</v>
      </c>
      <c r="D156" s="193" t="s">
        <v>408</v>
      </c>
      <c r="E156" s="194" t="s">
        <v>167</v>
      </c>
      <c r="F156" s="195">
        <v>8</v>
      </c>
      <c r="G156" s="191">
        <f>'Composições - CCU'!F543</f>
        <v>1698.1838599999996</v>
      </c>
      <c r="H156" s="192">
        <f t="shared" ref="H156:H169" si="30">IF(B156="","",F156*G156)</f>
        <v>13585.470879999997</v>
      </c>
      <c r="I156" s="192" t="s">
        <v>12</v>
      </c>
      <c r="J156" s="192">
        <f>IF(E156="","",IF(I156=$G$4,(G156*(1+$H$4)),(G156*(1+$H$5))))</f>
        <v>2109.1443541199997</v>
      </c>
      <c r="K156" s="192">
        <f>ROUND((IF(C156="","",F156*J156)),2)</f>
        <v>16873.150000000001</v>
      </c>
      <c r="L156" s="250">
        <f t="shared" ref="L156:L169" si="31">IF(C156="","",K156/$K$734)</f>
        <v>1.6988531194185392E-3</v>
      </c>
    </row>
    <row r="157" spans="1:12" s="3" customFormat="1" ht="45">
      <c r="A157" s="28" t="s">
        <v>409</v>
      </c>
      <c r="B157" s="28" t="s">
        <v>160</v>
      </c>
      <c r="C157" s="43" t="s">
        <v>410</v>
      </c>
      <c r="D157" s="193" t="s">
        <v>411</v>
      </c>
      <c r="E157" s="194" t="s">
        <v>167</v>
      </c>
      <c r="F157" s="195">
        <v>3</v>
      </c>
      <c r="G157" s="191">
        <v>4328.66</v>
      </c>
      <c r="H157" s="192">
        <f t="shared" si="30"/>
        <v>12985.98</v>
      </c>
      <c r="I157" s="192" t="s">
        <v>12</v>
      </c>
      <c r="J157" s="192">
        <f t="shared" si="27"/>
        <v>5376.1957199999997</v>
      </c>
      <c r="K157" s="192">
        <f t="shared" si="28"/>
        <v>16128.59</v>
      </c>
      <c r="L157" s="250">
        <f t="shared" si="31"/>
        <v>1.6238879778418763E-3</v>
      </c>
    </row>
    <row r="158" spans="1:12" s="3" customFormat="1" ht="30">
      <c r="A158" s="28" t="s">
        <v>412</v>
      </c>
      <c r="B158" s="28" t="s">
        <v>160</v>
      </c>
      <c r="C158" s="43" t="s">
        <v>413</v>
      </c>
      <c r="D158" s="193" t="s">
        <v>414</v>
      </c>
      <c r="E158" s="194" t="s">
        <v>167</v>
      </c>
      <c r="F158" s="195">
        <v>16</v>
      </c>
      <c r="G158" s="191">
        <f>'Composições - CCU'!F589</f>
        <v>2749.08</v>
      </c>
      <c r="H158" s="192">
        <f t="shared" si="30"/>
        <v>43985.279999999999</v>
      </c>
      <c r="I158" s="192" t="s">
        <v>12</v>
      </c>
      <c r="J158" s="192">
        <f t="shared" si="27"/>
        <v>3414.35736</v>
      </c>
      <c r="K158" s="192">
        <f t="shared" si="28"/>
        <v>54629.72</v>
      </c>
      <c r="L158" s="250">
        <f t="shared" si="31"/>
        <v>5.5003286425451894E-3</v>
      </c>
    </row>
    <row r="159" spans="1:12" s="3" customFormat="1" ht="30">
      <c r="A159" s="28" t="s">
        <v>415</v>
      </c>
      <c r="B159" s="28" t="s">
        <v>2</v>
      </c>
      <c r="C159" s="43">
        <v>92691</v>
      </c>
      <c r="D159" s="193" t="s">
        <v>416</v>
      </c>
      <c r="E159" s="194" t="s">
        <v>180</v>
      </c>
      <c r="F159" s="195">
        <v>16</v>
      </c>
      <c r="G159" s="191">
        <v>98.12</v>
      </c>
      <c r="H159" s="192">
        <f t="shared" si="30"/>
        <v>1569.92</v>
      </c>
      <c r="I159" s="192" t="s">
        <v>12</v>
      </c>
      <c r="J159" s="192">
        <f t="shared" si="27"/>
        <v>121.86504000000001</v>
      </c>
      <c r="K159" s="192">
        <f t="shared" si="28"/>
        <v>1949.84</v>
      </c>
      <c r="L159" s="250">
        <f t="shared" si="31"/>
        <v>1.9631733057354697E-4</v>
      </c>
    </row>
    <row r="160" spans="1:12" s="3" customFormat="1" ht="30">
      <c r="A160" s="28" t="s">
        <v>417</v>
      </c>
      <c r="B160" s="28" t="s">
        <v>2</v>
      </c>
      <c r="C160" s="43">
        <v>95250</v>
      </c>
      <c r="D160" s="193" t="s">
        <v>418</v>
      </c>
      <c r="E160" s="89" t="s">
        <v>167</v>
      </c>
      <c r="F160" s="195">
        <v>16</v>
      </c>
      <c r="G160" s="191">
        <v>112.82</v>
      </c>
      <c r="H160" s="192">
        <f t="shared" si="30"/>
        <v>1805.12</v>
      </c>
      <c r="I160" s="192" t="s">
        <v>12</v>
      </c>
      <c r="J160" s="192">
        <f t="shared" si="27"/>
        <v>140.12243999999998</v>
      </c>
      <c r="K160" s="192">
        <f t="shared" si="28"/>
        <v>2241.96</v>
      </c>
      <c r="L160" s="250">
        <f t="shared" si="31"/>
        <v>2.2572908672130503E-4</v>
      </c>
    </row>
    <row r="161" spans="1:12" s="3" customFormat="1" ht="30">
      <c r="A161" s="28" t="s">
        <v>419</v>
      </c>
      <c r="B161" s="28" t="s">
        <v>3</v>
      </c>
      <c r="C161" s="43" t="s">
        <v>420</v>
      </c>
      <c r="D161" s="193" t="s">
        <v>421</v>
      </c>
      <c r="E161" s="194" t="s">
        <v>167</v>
      </c>
      <c r="F161" s="195">
        <v>16</v>
      </c>
      <c r="G161" s="191">
        <v>143.21</v>
      </c>
      <c r="H161" s="192">
        <f t="shared" si="30"/>
        <v>2291.36</v>
      </c>
      <c r="I161" s="192" t="s">
        <v>12</v>
      </c>
      <c r="J161" s="192">
        <f t="shared" si="27"/>
        <v>177.86682000000002</v>
      </c>
      <c r="K161" s="192">
        <f t="shared" si="28"/>
        <v>2845.87</v>
      </c>
      <c r="L161" s="250">
        <f t="shared" si="31"/>
        <v>2.8653304966527515E-4</v>
      </c>
    </row>
    <row r="162" spans="1:12" s="3" customFormat="1" ht="30">
      <c r="A162" s="28" t="s">
        <v>422</v>
      </c>
      <c r="B162" s="28" t="s">
        <v>2</v>
      </c>
      <c r="C162" s="43">
        <v>92696</v>
      </c>
      <c r="D162" s="193" t="s">
        <v>423</v>
      </c>
      <c r="E162" s="194" t="s">
        <v>167</v>
      </c>
      <c r="F162" s="195">
        <v>16</v>
      </c>
      <c r="G162" s="191">
        <v>34.880000000000003</v>
      </c>
      <c r="H162" s="192">
        <f t="shared" si="30"/>
        <v>558.08000000000004</v>
      </c>
      <c r="I162" s="192" t="s">
        <v>12</v>
      </c>
      <c r="J162" s="192">
        <f t="shared" si="27"/>
        <v>43.320959999999999</v>
      </c>
      <c r="K162" s="192">
        <f t="shared" si="28"/>
        <v>693.14</v>
      </c>
      <c r="L162" s="250">
        <f t="shared" si="31"/>
        <v>6.9787979790007565E-5</v>
      </c>
    </row>
    <row r="163" spans="1:12" s="3" customFormat="1" ht="30">
      <c r="A163" s="28" t="s">
        <v>424</v>
      </c>
      <c r="B163" s="28" t="s">
        <v>160</v>
      </c>
      <c r="C163" s="43" t="s">
        <v>425</v>
      </c>
      <c r="D163" s="193" t="s">
        <v>426</v>
      </c>
      <c r="E163" s="194" t="s">
        <v>167</v>
      </c>
      <c r="F163" s="195">
        <v>3</v>
      </c>
      <c r="G163" s="191">
        <f>'Composições - CCU'!F635</f>
        <v>851.33834999999999</v>
      </c>
      <c r="H163" s="192">
        <f t="shared" si="30"/>
        <v>2554.01505</v>
      </c>
      <c r="I163" s="192" t="s">
        <v>12</v>
      </c>
      <c r="J163" s="192">
        <f t="shared" si="27"/>
        <v>1057.3622307000001</v>
      </c>
      <c r="K163" s="192">
        <f t="shared" si="28"/>
        <v>3172.09</v>
      </c>
      <c r="L163" s="250">
        <f t="shared" si="31"/>
        <v>3.1937812391736898E-4</v>
      </c>
    </row>
    <row r="164" spans="1:12" s="3" customFormat="1" ht="45">
      <c r="A164" s="28" t="s">
        <v>427</v>
      </c>
      <c r="B164" s="28" t="s">
        <v>160</v>
      </c>
      <c r="C164" s="43" t="s">
        <v>428</v>
      </c>
      <c r="D164" s="193" t="s">
        <v>429</v>
      </c>
      <c r="E164" s="194" t="s">
        <v>167</v>
      </c>
      <c r="F164" s="195">
        <v>28</v>
      </c>
      <c r="G164" s="191">
        <f>'Composições - CCU'!F658</f>
        <v>173.94245999999998</v>
      </c>
      <c r="H164" s="192">
        <f t="shared" si="30"/>
        <v>4870.3888799999995</v>
      </c>
      <c r="I164" s="192" t="s">
        <v>12</v>
      </c>
      <c r="J164" s="192">
        <f t="shared" si="27"/>
        <v>216.03653531999998</v>
      </c>
      <c r="K164" s="192">
        <f t="shared" si="28"/>
        <v>6049.02</v>
      </c>
      <c r="L164" s="250">
        <f t="shared" si="31"/>
        <v>6.0903841288823554E-4</v>
      </c>
    </row>
    <row r="165" spans="1:12" s="3" customFormat="1" ht="30">
      <c r="A165" s="28" t="s">
        <v>430</v>
      </c>
      <c r="B165" s="28" t="s">
        <v>160</v>
      </c>
      <c r="C165" s="43" t="s">
        <v>431</v>
      </c>
      <c r="D165" s="193" t="s">
        <v>432</v>
      </c>
      <c r="E165" s="194" t="s">
        <v>180</v>
      </c>
      <c r="F165" s="195">
        <v>12</v>
      </c>
      <c r="G165" s="191">
        <f>'Composições - CCU'!F681</f>
        <v>54.478259999999999</v>
      </c>
      <c r="H165" s="192">
        <f t="shared" si="30"/>
        <v>653.73911999999996</v>
      </c>
      <c r="I165" s="192" t="s">
        <v>12</v>
      </c>
      <c r="J165" s="192">
        <f t="shared" si="27"/>
        <v>67.661998920000002</v>
      </c>
      <c r="K165" s="192">
        <f t="shared" si="28"/>
        <v>811.94</v>
      </c>
      <c r="L165" s="250">
        <f t="shared" si="31"/>
        <v>8.1749217056725545E-5</v>
      </c>
    </row>
    <row r="166" spans="1:12" s="3" customFormat="1" ht="30">
      <c r="A166" s="28" t="s">
        <v>433</v>
      </c>
      <c r="B166" s="28" t="s">
        <v>160</v>
      </c>
      <c r="C166" s="43" t="s">
        <v>434</v>
      </c>
      <c r="D166" s="193" t="s">
        <v>435</v>
      </c>
      <c r="E166" s="194" t="s">
        <v>167</v>
      </c>
      <c r="F166" s="195">
        <v>28</v>
      </c>
      <c r="G166" s="191">
        <f>'Composições - CCU'!F705</f>
        <v>26.273069999999997</v>
      </c>
      <c r="H166" s="192">
        <f t="shared" si="30"/>
        <v>735.64595999999995</v>
      </c>
      <c r="I166" s="192" t="s">
        <v>12</v>
      </c>
      <c r="J166" s="192">
        <f t="shared" si="27"/>
        <v>32.631152939999993</v>
      </c>
      <c r="K166" s="192">
        <f t="shared" si="28"/>
        <v>913.67</v>
      </c>
      <c r="L166" s="250">
        <f t="shared" si="31"/>
        <v>9.199178159496813E-5</v>
      </c>
    </row>
    <row r="167" spans="1:12" s="3" customFormat="1" ht="30">
      <c r="A167" s="28" t="s">
        <v>436</v>
      </c>
      <c r="B167" s="28" t="s">
        <v>160</v>
      </c>
      <c r="C167" s="43" t="s">
        <v>437</v>
      </c>
      <c r="D167" s="193" t="s">
        <v>438</v>
      </c>
      <c r="E167" s="194" t="s">
        <v>167</v>
      </c>
      <c r="F167" s="195">
        <v>28</v>
      </c>
      <c r="G167" s="191">
        <f>'Composições - CCU'!F729</f>
        <v>33.401559999999996</v>
      </c>
      <c r="H167" s="192">
        <f t="shared" si="30"/>
        <v>935.24367999999993</v>
      </c>
      <c r="I167" s="192" t="s">
        <v>12</v>
      </c>
      <c r="J167" s="192">
        <f t="shared" si="27"/>
        <v>41.484737519999996</v>
      </c>
      <c r="K167" s="192">
        <f t="shared" si="28"/>
        <v>1161.57</v>
      </c>
      <c r="L167" s="250">
        <f t="shared" si="31"/>
        <v>1.1695129942678115E-4</v>
      </c>
    </row>
    <row r="168" spans="1:12" s="3" customFormat="1" ht="30">
      <c r="A168" s="28" t="s">
        <v>439</v>
      </c>
      <c r="B168" s="28" t="s">
        <v>160</v>
      </c>
      <c r="C168" s="43" t="s">
        <v>440</v>
      </c>
      <c r="D168" s="193" t="s">
        <v>441</v>
      </c>
      <c r="E168" s="194" t="s">
        <v>167</v>
      </c>
      <c r="F168" s="195">
        <v>56</v>
      </c>
      <c r="G168" s="191">
        <f>'Composições - CCU'!F612</f>
        <v>77.593761999999998</v>
      </c>
      <c r="H168" s="192">
        <f t="shared" si="30"/>
        <v>4345.2506720000001</v>
      </c>
      <c r="I168" s="192" t="s">
        <v>12</v>
      </c>
      <c r="J168" s="192">
        <f t="shared" si="27"/>
        <v>96.371452403999996</v>
      </c>
      <c r="K168" s="192">
        <f t="shared" si="28"/>
        <v>5396.8</v>
      </c>
      <c r="L168" s="250">
        <f t="shared" si="31"/>
        <v>5.4337041482343086E-4</v>
      </c>
    </row>
    <row r="169" spans="1:12" s="3" customFormat="1" ht="30">
      <c r="A169" s="28" t="s">
        <v>442</v>
      </c>
      <c r="B169" s="28" t="s">
        <v>160</v>
      </c>
      <c r="C169" s="43" t="s">
        <v>443</v>
      </c>
      <c r="D169" s="193" t="s">
        <v>444</v>
      </c>
      <c r="E169" s="194" t="s">
        <v>167</v>
      </c>
      <c r="F169" s="195">
        <v>7</v>
      </c>
      <c r="G169" s="191">
        <f>'Composições - CCU'!F753</f>
        <v>37.610640000000004</v>
      </c>
      <c r="H169" s="192">
        <f t="shared" si="30"/>
        <v>263.27448000000004</v>
      </c>
      <c r="I169" s="192" t="s">
        <v>12</v>
      </c>
      <c r="J169" s="192">
        <f t="shared" si="27"/>
        <v>46.712414880000004</v>
      </c>
      <c r="K169" s="192">
        <f t="shared" si="28"/>
        <v>326.99</v>
      </c>
      <c r="L169" s="250">
        <f t="shared" si="31"/>
        <v>3.2922600789933598E-5</v>
      </c>
    </row>
    <row r="170" spans="1:12" s="3" customFormat="1">
      <c r="A170" s="35" t="s">
        <v>77</v>
      </c>
      <c r="B170" s="64" t="s">
        <v>34</v>
      </c>
      <c r="C170" s="64" t="s">
        <v>34</v>
      </c>
      <c r="D170" s="36" t="s">
        <v>78</v>
      </c>
      <c r="E170" s="37" t="s">
        <v>34</v>
      </c>
      <c r="F170" s="38"/>
      <c r="G170" s="37" t="s">
        <v>34</v>
      </c>
      <c r="H170" s="39"/>
      <c r="I170" s="39"/>
      <c r="J170" s="39"/>
      <c r="K170" s="40">
        <f>SUM(K171:K273)</f>
        <v>630773.65999999992</v>
      </c>
      <c r="L170" s="247">
        <f>SUM(L171:L273)</f>
        <v>6.3508698727744922E-2</v>
      </c>
    </row>
    <row r="171" spans="1:12" s="3" customFormat="1">
      <c r="A171" s="134" t="s">
        <v>445</v>
      </c>
      <c r="B171" s="206" t="s">
        <v>34</v>
      </c>
      <c r="C171" s="206" t="s">
        <v>34</v>
      </c>
      <c r="D171" s="459" t="s">
        <v>446</v>
      </c>
      <c r="E171" s="455" t="s">
        <v>34</v>
      </c>
      <c r="F171" s="460"/>
      <c r="G171" s="455" t="s">
        <v>34</v>
      </c>
      <c r="H171" s="456"/>
      <c r="I171" s="456"/>
      <c r="J171" s="456"/>
      <c r="K171" s="461"/>
      <c r="L171" s="462"/>
    </row>
    <row r="172" spans="1:12" s="3" customFormat="1" ht="30">
      <c r="A172" s="28" t="s">
        <v>447</v>
      </c>
      <c r="B172" s="28" t="s">
        <v>160</v>
      </c>
      <c r="C172" s="43" t="s">
        <v>448</v>
      </c>
      <c r="D172" s="193" t="s">
        <v>449</v>
      </c>
      <c r="E172" s="194" t="s">
        <v>180</v>
      </c>
      <c r="F172" s="195">
        <v>3</v>
      </c>
      <c r="G172" s="191">
        <f>'Composições - CCU'!F777</f>
        <v>4135.4757521499996</v>
      </c>
      <c r="H172" s="192">
        <f t="shared" ref="H172:H180" si="32">IF(B172="","",F172*G172)</f>
        <v>12406.427256449999</v>
      </c>
      <c r="I172" s="192" t="s">
        <v>12</v>
      </c>
      <c r="J172" s="192">
        <f>IF(E172="","",IF(I172=$G$4,(G172*(1+$H$4)),(G172*(1+$H$5))))</f>
        <v>5136.2608841702995</v>
      </c>
      <c r="K172" s="192">
        <f>ROUND((IF(C172="","",F172*J172)),2)</f>
        <v>15408.78</v>
      </c>
      <c r="L172" s="250">
        <f t="shared" ref="L172:L180" si="33">IF(C172="","",K172/$K$734)</f>
        <v>1.5514147606957799E-3</v>
      </c>
    </row>
    <row r="173" spans="1:12" s="3" customFormat="1" ht="30">
      <c r="A173" s="28" t="s">
        <v>450</v>
      </c>
      <c r="B173" s="28" t="s">
        <v>160</v>
      </c>
      <c r="C173" s="43" t="s">
        <v>451</v>
      </c>
      <c r="D173" s="193" t="s">
        <v>452</v>
      </c>
      <c r="E173" s="194" t="s">
        <v>180</v>
      </c>
      <c r="F173" s="195">
        <v>40</v>
      </c>
      <c r="G173" s="191">
        <f>'Composições - CCU'!F808</f>
        <v>1450.6598127499999</v>
      </c>
      <c r="H173" s="192">
        <f t="shared" si="32"/>
        <v>58026.392509999998</v>
      </c>
      <c r="I173" s="192" t="s">
        <v>12</v>
      </c>
      <c r="J173" s="192">
        <f t="shared" ref="J173:J187" si="34">IF(E173="","",IF(I173=$G$4,(G173*(1+$H$4)),(G173*(1+$H$5))))</f>
        <v>1801.7194874354998</v>
      </c>
      <c r="K173" s="192">
        <f t="shared" ref="K173:K187" si="35">ROUND((IF(C173="","",F173*J173)),2)</f>
        <v>72068.78</v>
      </c>
      <c r="L173" s="250">
        <f t="shared" si="33"/>
        <v>7.2561597399233941E-3</v>
      </c>
    </row>
    <row r="174" spans="1:12" s="3" customFormat="1" ht="30">
      <c r="A174" s="28" t="s">
        <v>453</v>
      </c>
      <c r="B174" s="28" t="s">
        <v>160</v>
      </c>
      <c r="C174" s="43" t="s">
        <v>454</v>
      </c>
      <c r="D174" s="193" t="s">
        <v>455</v>
      </c>
      <c r="E174" s="194" t="s">
        <v>180</v>
      </c>
      <c r="F174" s="195">
        <f>'MC_CAG-Anexo '!M485</f>
        <v>14</v>
      </c>
      <c r="G174" s="191">
        <f>'Composições - CCU'!F838</f>
        <v>977.5931971199999</v>
      </c>
      <c r="H174" s="192">
        <f t="shared" si="32"/>
        <v>13686.304759679999</v>
      </c>
      <c r="I174" s="192" t="s">
        <v>12</v>
      </c>
      <c r="J174" s="192">
        <f t="shared" si="34"/>
        <v>1214.17075082304</v>
      </c>
      <c r="K174" s="192">
        <f t="shared" si="35"/>
        <v>16998.39</v>
      </c>
      <c r="L174" s="250">
        <f t="shared" si="33"/>
        <v>1.711462760456281E-3</v>
      </c>
    </row>
    <row r="175" spans="1:12" s="3" customFormat="1" ht="30">
      <c r="A175" s="28" t="s">
        <v>456</v>
      </c>
      <c r="B175" s="28" t="s">
        <v>160</v>
      </c>
      <c r="C175" s="43" t="s">
        <v>457</v>
      </c>
      <c r="D175" s="193" t="s">
        <v>458</v>
      </c>
      <c r="E175" s="194" t="s">
        <v>180</v>
      </c>
      <c r="F175" s="195">
        <f>'MC_CAG-Anexo '!M488</f>
        <v>70</v>
      </c>
      <c r="G175" s="191">
        <f>'Composições - CCU'!F870</f>
        <v>888.29772419999995</v>
      </c>
      <c r="H175" s="192">
        <f t="shared" si="32"/>
        <v>62180.840693999999</v>
      </c>
      <c r="I175" s="192" t="s">
        <v>12</v>
      </c>
      <c r="J175" s="192">
        <f t="shared" ref="J175" si="36">IF(E175="","",IF(I175=$G$4,(G175*(1+$H$4)),(G175*(1+$H$5))))</f>
        <v>1103.2657734564</v>
      </c>
      <c r="K175" s="192">
        <f t="shared" ref="K175" si="37">ROUND((IF(C175="","",F175*J175)),2)</f>
        <v>77228.600000000006</v>
      </c>
      <c r="L175" s="250">
        <f t="shared" si="33"/>
        <v>7.7756701041789235E-3</v>
      </c>
    </row>
    <row r="176" spans="1:12" s="3" customFormat="1" ht="30">
      <c r="A176" s="28" t="s">
        <v>459</v>
      </c>
      <c r="B176" s="28" t="s">
        <v>160</v>
      </c>
      <c r="C176" s="43" t="s">
        <v>460</v>
      </c>
      <c r="D176" s="193" t="s">
        <v>461</v>
      </c>
      <c r="E176" s="194" t="s">
        <v>180</v>
      </c>
      <c r="F176" s="195">
        <v>10</v>
      </c>
      <c r="G176" s="191">
        <f>'Composições - CCU'!F901</f>
        <v>834.42256672999974</v>
      </c>
      <c r="H176" s="192">
        <f t="shared" si="32"/>
        <v>8344.2256672999974</v>
      </c>
      <c r="I176" s="192" t="s">
        <v>12</v>
      </c>
      <c r="J176" s="192">
        <f t="shared" si="34"/>
        <v>1036.3528278786596</v>
      </c>
      <c r="K176" s="192">
        <f t="shared" si="35"/>
        <v>10363.530000000001</v>
      </c>
      <c r="L176" s="250">
        <f t="shared" si="33"/>
        <v>1.0434397411679273E-3</v>
      </c>
    </row>
    <row r="177" spans="1:12" s="3" customFormat="1" ht="30">
      <c r="A177" s="28" t="s">
        <v>462</v>
      </c>
      <c r="B177" s="28" t="s">
        <v>160</v>
      </c>
      <c r="C177" s="43" t="s">
        <v>463</v>
      </c>
      <c r="D177" s="193" t="s">
        <v>464</v>
      </c>
      <c r="E177" s="194" t="s">
        <v>180</v>
      </c>
      <c r="F177" s="195">
        <v>47</v>
      </c>
      <c r="G177" s="191">
        <f>'Composições - CCU'!F932</f>
        <v>455.98209112999996</v>
      </c>
      <c r="H177" s="192">
        <f t="shared" si="32"/>
        <v>21431.158283109999</v>
      </c>
      <c r="I177" s="192" t="s">
        <v>12</v>
      </c>
      <c r="J177" s="192">
        <f t="shared" si="34"/>
        <v>566.32975718345995</v>
      </c>
      <c r="K177" s="192">
        <f t="shared" si="35"/>
        <v>26617.5</v>
      </c>
      <c r="L177" s="250">
        <f t="shared" si="33"/>
        <v>2.6799514557816983E-3</v>
      </c>
    </row>
    <row r="178" spans="1:12" s="3" customFormat="1" ht="30">
      <c r="A178" s="28" t="s">
        <v>465</v>
      </c>
      <c r="B178" s="28" t="s">
        <v>160</v>
      </c>
      <c r="C178" s="43" t="s">
        <v>466</v>
      </c>
      <c r="D178" s="193" t="s">
        <v>467</v>
      </c>
      <c r="E178" s="194" t="s">
        <v>180</v>
      </c>
      <c r="F178" s="195">
        <v>36</v>
      </c>
      <c r="G178" s="191">
        <f>'Composições - CCU'!F963</f>
        <v>230.74370971999997</v>
      </c>
      <c r="H178" s="192">
        <f t="shared" si="32"/>
        <v>8306.7735499199989</v>
      </c>
      <c r="I178" s="192" t="s">
        <v>12</v>
      </c>
      <c r="J178" s="192">
        <f t="shared" si="34"/>
        <v>286.58368747223994</v>
      </c>
      <c r="K178" s="192">
        <f t="shared" si="35"/>
        <v>10317.01</v>
      </c>
      <c r="L178" s="250">
        <f t="shared" si="33"/>
        <v>1.0387559300766166E-3</v>
      </c>
    </row>
    <row r="179" spans="1:12" s="3" customFormat="1" ht="30">
      <c r="A179" s="28" t="s">
        <v>468</v>
      </c>
      <c r="B179" s="28" t="s">
        <v>160</v>
      </c>
      <c r="C179" s="43" t="s">
        <v>469</v>
      </c>
      <c r="D179" s="193" t="s">
        <v>470</v>
      </c>
      <c r="E179" s="194" t="s">
        <v>180</v>
      </c>
      <c r="F179" s="195">
        <v>7</v>
      </c>
      <c r="G179" s="191">
        <f>'Composições - CCU'!F993</f>
        <v>193.85719525000002</v>
      </c>
      <c r="H179" s="192">
        <f t="shared" si="32"/>
        <v>1357.00036675</v>
      </c>
      <c r="I179" s="192" t="s">
        <v>12</v>
      </c>
      <c r="J179" s="192">
        <f t="shared" si="34"/>
        <v>240.77063650050002</v>
      </c>
      <c r="K179" s="192">
        <f t="shared" si="35"/>
        <v>1685.39</v>
      </c>
      <c r="L179" s="250">
        <f t="shared" si="33"/>
        <v>1.6969149559725431E-4</v>
      </c>
    </row>
    <row r="180" spans="1:12" s="3" customFormat="1" ht="30">
      <c r="A180" s="28" t="s">
        <v>471</v>
      </c>
      <c r="B180" s="28" t="s">
        <v>160</v>
      </c>
      <c r="C180" s="43" t="s">
        <v>472</v>
      </c>
      <c r="D180" s="193" t="s">
        <v>473</v>
      </c>
      <c r="E180" s="194" t="s">
        <v>180</v>
      </c>
      <c r="F180" s="195">
        <v>10</v>
      </c>
      <c r="G180" s="191">
        <f>'Composições - CCU'!F1023</f>
        <v>177.54167874999999</v>
      </c>
      <c r="H180" s="192">
        <f t="shared" si="32"/>
        <v>1775.4167874999998</v>
      </c>
      <c r="I180" s="192" t="s">
        <v>12</v>
      </c>
      <c r="J180" s="192">
        <f t="shared" si="34"/>
        <v>220.50676500749998</v>
      </c>
      <c r="K180" s="192">
        <f t="shared" si="35"/>
        <v>2205.0700000000002</v>
      </c>
      <c r="L180" s="250">
        <f t="shared" si="33"/>
        <v>2.2201486077206913E-4</v>
      </c>
    </row>
    <row r="181" spans="1:12" s="3" customFormat="1">
      <c r="A181" s="134" t="s">
        <v>474</v>
      </c>
      <c r="B181" s="206" t="s">
        <v>34</v>
      </c>
      <c r="C181" s="206" t="s">
        <v>34</v>
      </c>
      <c r="D181" s="459" t="s">
        <v>475</v>
      </c>
      <c r="E181" s="455" t="s">
        <v>34</v>
      </c>
      <c r="F181" s="460"/>
      <c r="G181" s="455" t="s">
        <v>34</v>
      </c>
      <c r="H181" s="456"/>
      <c r="I181" s="456"/>
      <c r="J181" s="456"/>
      <c r="K181" s="461"/>
      <c r="L181" s="462"/>
    </row>
    <row r="182" spans="1:12" s="3" customFormat="1" ht="30">
      <c r="A182" s="28" t="s">
        <v>476</v>
      </c>
      <c r="B182" s="28" t="s">
        <v>160</v>
      </c>
      <c r="C182" s="43" t="s">
        <v>477</v>
      </c>
      <c r="D182" s="193" t="s">
        <v>478</v>
      </c>
      <c r="E182" s="194" t="s">
        <v>167</v>
      </c>
      <c r="F182" s="195">
        <v>2</v>
      </c>
      <c r="G182" s="191">
        <f>'Composições - CCU'!F1173</f>
        <v>4962.8867860400005</v>
      </c>
      <c r="H182" s="192">
        <f t="shared" ref="H182:H225" si="38">IF(B182="","",F182*G182)</f>
        <v>9925.773572080001</v>
      </c>
      <c r="I182" s="192" t="s">
        <v>12</v>
      </c>
      <c r="J182" s="192">
        <f>IF(E182="","",IF(I182=$G$4,(G182*(1+$H$4)),(G182*(1+$H$5))))</f>
        <v>6163.9053882616809</v>
      </c>
      <c r="K182" s="192">
        <f>ROUND((IF(C182="","",F182*J182)),2)</f>
        <v>12327.81</v>
      </c>
      <c r="L182" s="250">
        <f t="shared" ref="L182:L225" si="39">IF(C182="","",K182/$K$734)</f>
        <v>1.2412109460355097E-3</v>
      </c>
    </row>
    <row r="183" spans="1:12" s="3" customFormat="1" ht="30">
      <c r="A183" s="28" t="s">
        <v>479</v>
      </c>
      <c r="B183" s="28" t="s">
        <v>160</v>
      </c>
      <c r="C183" s="43" t="s">
        <v>480</v>
      </c>
      <c r="D183" s="193" t="s">
        <v>481</v>
      </c>
      <c r="E183" s="194" t="s">
        <v>167</v>
      </c>
      <c r="F183" s="195">
        <v>3</v>
      </c>
      <c r="G183" s="191">
        <f>'Composições - CCU'!F1205</f>
        <v>4310.6565030666679</v>
      </c>
      <c r="H183" s="192">
        <f t="shared" si="38"/>
        <v>12931.969509200004</v>
      </c>
      <c r="I183" s="192" t="s">
        <v>12</v>
      </c>
      <c r="J183" s="192">
        <f t="shared" si="34"/>
        <v>5353.8353768088018</v>
      </c>
      <c r="K183" s="192">
        <f t="shared" si="35"/>
        <v>16061.51</v>
      </c>
      <c r="L183" s="250">
        <f t="shared" si="39"/>
        <v>1.6171341075064266E-3</v>
      </c>
    </row>
    <row r="184" spans="1:12" s="3" customFormat="1" ht="30">
      <c r="A184" s="28" t="s">
        <v>482</v>
      </c>
      <c r="B184" s="28" t="s">
        <v>160</v>
      </c>
      <c r="C184" s="43" t="s">
        <v>483</v>
      </c>
      <c r="D184" s="193" t="s">
        <v>484</v>
      </c>
      <c r="E184" s="194" t="s">
        <v>167</v>
      </c>
      <c r="F184" s="195">
        <v>2</v>
      </c>
      <c r="G184" s="191">
        <f>'Composições - CCU'!F1237</f>
        <v>828.58374063250005</v>
      </c>
      <c r="H184" s="192">
        <f t="shared" si="38"/>
        <v>1657.1674812650001</v>
      </c>
      <c r="I184" s="192" t="s">
        <v>12</v>
      </c>
      <c r="J184" s="192">
        <f t="shared" si="34"/>
        <v>1029.101005865565</v>
      </c>
      <c r="K184" s="192">
        <f t="shared" si="35"/>
        <v>2058.1999999999998</v>
      </c>
      <c r="L184" s="250">
        <f t="shared" si="39"/>
        <v>2.0722742880773518E-4</v>
      </c>
    </row>
    <row r="185" spans="1:12" s="3" customFormat="1" ht="30">
      <c r="A185" s="28" t="s">
        <v>485</v>
      </c>
      <c r="B185" s="28" t="s">
        <v>160</v>
      </c>
      <c r="C185" s="43" t="s">
        <v>486</v>
      </c>
      <c r="D185" s="193" t="s">
        <v>487</v>
      </c>
      <c r="E185" s="194" t="s">
        <v>167</v>
      </c>
      <c r="F185" s="195">
        <v>2</v>
      </c>
      <c r="G185" s="191">
        <f>'Composições - CCU'!F1269</f>
        <v>7528.1618782533342</v>
      </c>
      <c r="H185" s="192">
        <f t="shared" si="38"/>
        <v>15056.323756506668</v>
      </c>
      <c r="I185" s="192" t="s">
        <v>12</v>
      </c>
      <c r="J185" s="192">
        <f t="shared" si="34"/>
        <v>9349.9770527906403</v>
      </c>
      <c r="K185" s="192">
        <f t="shared" si="35"/>
        <v>18699.95</v>
      </c>
      <c r="L185" s="250">
        <f t="shared" si="39"/>
        <v>1.8827823133481722E-3</v>
      </c>
    </row>
    <row r="186" spans="1:12" s="3" customFormat="1" ht="30">
      <c r="A186" s="28" t="s">
        <v>488</v>
      </c>
      <c r="B186" s="28" t="s">
        <v>160</v>
      </c>
      <c r="C186" s="43" t="s">
        <v>489</v>
      </c>
      <c r="D186" s="193" t="s">
        <v>490</v>
      </c>
      <c r="E186" s="194" t="s">
        <v>167</v>
      </c>
      <c r="F186" s="195">
        <v>3</v>
      </c>
      <c r="G186" s="191">
        <f>'Composições - CCU'!F1301</f>
        <v>5239.4925788433338</v>
      </c>
      <c r="H186" s="192">
        <f t="shared" si="38"/>
        <v>15718.477736530001</v>
      </c>
      <c r="I186" s="192" t="s">
        <v>12</v>
      </c>
      <c r="J186" s="192">
        <f t="shared" si="34"/>
        <v>6507.4497829234206</v>
      </c>
      <c r="K186" s="192">
        <f t="shared" si="35"/>
        <v>19522.349999999999</v>
      </c>
      <c r="L186" s="250">
        <f t="shared" si="39"/>
        <v>1.9655846831137347E-3</v>
      </c>
    </row>
    <row r="187" spans="1:12" s="3" customFormat="1" ht="30">
      <c r="A187" s="28" t="s">
        <v>491</v>
      </c>
      <c r="B187" s="28" t="s">
        <v>160</v>
      </c>
      <c r="C187" s="43" t="s">
        <v>492</v>
      </c>
      <c r="D187" s="193" t="s">
        <v>493</v>
      </c>
      <c r="E187" s="194" t="s">
        <v>167</v>
      </c>
      <c r="F187" s="195">
        <v>2</v>
      </c>
      <c r="G187" s="191">
        <f>'Composições - CCU'!F1334</f>
        <v>2472.2067860400011</v>
      </c>
      <c r="H187" s="192">
        <f t="shared" si="38"/>
        <v>4944.4135720800023</v>
      </c>
      <c r="I187" s="192" t="s">
        <v>12</v>
      </c>
      <c r="J187" s="192">
        <f t="shared" si="34"/>
        <v>3070.4808282616814</v>
      </c>
      <c r="K187" s="192">
        <f t="shared" si="35"/>
        <v>6140.96</v>
      </c>
      <c r="L187" s="250">
        <f t="shared" si="39"/>
        <v>6.1829528287394306E-4</v>
      </c>
    </row>
    <row r="188" spans="1:12" s="3" customFormat="1" ht="30">
      <c r="A188" s="28" t="s">
        <v>494</v>
      </c>
      <c r="B188" s="28" t="s">
        <v>160</v>
      </c>
      <c r="C188" s="43" t="s">
        <v>495</v>
      </c>
      <c r="D188" s="193" t="s">
        <v>496</v>
      </c>
      <c r="E188" s="194" t="s">
        <v>167</v>
      </c>
      <c r="F188" s="195">
        <v>7</v>
      </c>
      <c r="G188" s="191">
        <f>'Composições - CCU'!F1366</f>
        <v>1387.7038891999998</v>
      </c>
      <c r="H188" s="192">
        <f t="shared" si="38"/>
        <v>9713.9272243999985</v>
      </c>
      <c r="I188" s="192" t="s">
        <v>12</v>
      </c>
      <c r="J188" s="192">
        <f t="shared" ref="J188:J203" si="40">IF(E188="","",IF(I188=$G$4,(G188*(1+$H$4)),(G188*(1+$H$5))))</f>
        <v>1723.5282303863999</v>
      </c>
      <c r="K188" s="192">
        <f t="shared" ref="K188:K203" si="41">ROUND((IF(C188="","",F188*J188)),2)</f>
        <v>12064.7</v>
      </c>
      <c r="L188" s="250">
        <f t="shared" si="39"/>
        <v>1.2147200273718215E-3</v>
      </c>
    </row>
    <row r="189" spans="1:12" s="3" customFormat="1" ht="30">
      <c r="A189" s="28" t="s">
        <v>497</v>
      </c>
      <c r="B189" s="28" t="s">
        <v>160</v>
      </c>
      <c r="C189" s="43" t="s">
        <v>498</v>
      </c>
      <c r="D189" s="193" t="s">
        <v>499</v>
      </c>
      <c r="E189" s="194" t="s">
        <v>167</v>
      </c>
      <c r="F189" s="195">
        <v>4</v>
      </c>
      <c r="G189" s="191">
        <f>'Composições - CCU'!F1397</f>
        <v>1733.5312140325</v>
      </c>
      <c r="H189" s="192">
        <f t="shared" si="38"/>
        <v>6934.1248561299999</v>
      </c>
      <c r="I189" s="192" t="s">
        <v>12</v>
      </c>
      <c r="J189" s="192">
        <f t="shared" si="40"/>
        <v>2153.0457678283651</v>
      </c>
      <c r="K189" s="192">
        <f t="shared" si="41"/>
        <v>8612.18</v>
      </c>
      <c r="L189" s="250">
        <f t="shared" si="39"/>
        <v>8.671071411084448E-4</v>
      </c>
    </row>
    <row r="190" spans="1:12" s="3" customFormat="1" ht="30">
      <c r="A190" s="28" t="s">
        <v>500</v>
      </c>
      <c r="B190" s="28" t="s">
        <v>160</v>
      </c>
      <c r="C190" s="43" t="s">
        <v>501</v>
      </c>
      <c r="D190" s="193" t="s">
        <v>502</v>
      </c>
      <c r="E190" s="194" t="s">
        <v>167</v>
      </c>
      <c r="F190" s="195">
        <v>4</v>
      </c>
      <c r="G190" s="191">
        <f>'Composições - CCU'!F1430</f>
        <v>708.95091563250003</v>
      </c>
      <c r="H190" s="192">
        <f t="shared" si="38"/>
        <v>2835.8036625300001</v>
      </c>
      <c r="I190" s="192" t="s">
        <v>12</v>
      </c>
      <c r="J190" s="192">
        <f t="shared" si="40"/>
        <v>880.51703721556498</v>
      </c>
      <c r="K190" s="192">
        <f t="shared" si="41"/>
        <v>3522.07</v>
      </c>
      <c r="L190" s="250">
        <f t="shared" si="39"/>
        <v>3.5461544562280631E-4</v>
      </c>
    </row>
    <row r="191" spans="1:12" s="3" customFormat="1" ht="30">
      <c r="A191" s="28" t="s">
        <v>503</v>
      </c>
      <c r="B191" s="28" t="s">
        <v>160</v>
      </c>
      <c r="C191" s="43" t="s">
        <v>504</v>
      </c>
      <c r="D191" s="193" t="s">
        <v>505</v>
      </c>
      <c r="E191" s="194" t="s">
        <v>167</v>
      </c>
      <c r="F191" s="195">
        <v>4</v>
      </c>
      <c r="G191" s="191">
        <f>'Composições - CCU'!F1462</f>
        <v>509.72752399999996</v>
      </c>
      <c r="H191" s="192">
        <f t="shared" si="38"/>
        <v>2038.9100959999998</v>
      </c>
      <c r="I191" s="192" t="s">
        <v>12</v>
      </c>
      <c r="J191" s="192">
        <f t="shared" si="40"/>
        <v>633.081584808</v>
      </c>
      <c r="K191" s="192">
        <f t="shared" si="41"/>
        <v>2532.33</v>
      </c>
      <c r="L191" s="250">
        <f t="shared" si="39"/>
        <v>2.5496464619215436E-4</v>
      </c>
    </row>
    <row r="192" spans="1:12" s="3" customFormat="1" ht="30">
      <c r="A192" s="28" t="s">
        <v>506</v>
      </c>
      <c r="B192" s="28" t="s">
        <v>160</v>
      </c>
      <c r="C192" s="43" t="s">
        <v>507</v>
      </c>
      <c r="D192" s="193" t="s">
        <v>508</v>
      </c>
      <c r="E192" s="194" t="s">
        <v>167</v>
      </c>
      <c r="F192" s="195">
        <v>4</v>
      </c>
      <c r="G192" s="191">
        <f>'Composições - CCU'!F1485</f>
        <v>160.97900250000001</v>
      </c>
      <c r="H192" s="192">
        <f t="shared" si="38"/>
        <v>643.91601000000003</v>
      </c>
      <c r="I192" s="192" t="s">
        <v>12</v>
      </c>
      <c r="J192" s="192">
        <f t="shared" si="40"/>
        <v>199.93592110500001</v>
      </c>
      <c r="K192" s="192">
        <f t="shared" si="41"/>
        <v>799.74</v>
      </c>
      <c r="L192" s="250">
        <f t="shared" si="39"/>
        <v>8.0520874509133303E-5</v>
      </c>
    </row>
    <row r="193" spans="1:12" s="3" customFormat="1" ht="30">
      <c r="A193" s="28" t="s">
        <v>509</v>
      </c>
      <c r="B193" s="28" t="s">
        <v>160</v>
      </c>
      <c r="C193" s="43" t="s">
        <v>510</v>
      </c>
      <c r="D193" s="193" t="s">
        <v>511</v>
      </c>
      <c r="E193" s="194" t="s">
        <v>167</v>
      </c>
      <c r="F193" s="195">
        <v>2</v>
      </c>
      <c r="G193" s="191">
        <f>'Composições - CCU'!F1508</f>
        <v>2659.329972</v>
      </c>
      <c r="H193" s="192">
        <f t="shared" si="38"/>
        <v>5318.659944</v>
      </c>
      <c r="I193" s="192" t="s">
        <v>12</v>
      </c>
      <c r="J193" s="192">
        <f t="shared" si="40"/>
        <v>3302.8878252240002</v>
      </c>
      <c r="K193" s="192">
        <f t="shared" si="41"/>
        <v>6605.78</v>
      </c>
      <c r="L193" s="250">
        <f t="shared" si="39"/>
        <v>6.6509513393720777E-4</v>
      </c>
    </row>
    <row r="194" spans="1:12" s="3" customFormat="1" ht="30">
      <c r="A194" s="28" t="s">
        <v>512</v>
      </c>
      <c r="B194" s="28" t="s">
        <v>160</v>
      </c>
      <c r="C194" s="43" t="s">
        <v>513</v>
      </c>
      <c r="D194" s="193" t="s">
        <v>514</v>
      </c>
      <c r="E194" s="194" t="s">
        <v>167</v>
      </c>
      <c r="F194" s="195">
        <v>3</v>
      </c>
      <c r="G194" s="191">
        <f>'Composições - CCU'!F1531</f>
        <v>2271.7188100000003</v>
      </c>
      <c r="H194" s="192">
        <f t="shared" si="38"/>
        <v>6815.1564300000009</v>
      </c>
      <c r="I194" s="192" t="s">
        <v>12</v>
      </c>
      <c r="J194" s="192">
        <f t="shared" si="40"/>
        <v>2821.4747620200005</v>
      </c>
      <c r="K194" s="192">
        <f t="shared" si="41"/>
        <v>8464.42</v>
      </c>
      <c r="L194" s="250">
        <f t="shared" si="39"/>
        <v>8.5223010054842586E-4</v>
      </c>
    </row>
    <row r="195" spans="1:12" s="3" customFormat="1" ht="30">
      <c r="A195" s="28" t="s">
        <v>515</v>
      </c>
      <c r="B195" s="28" t="s">
        <v>3</v>
      </c>
      <c r="C195" s="43" t="s">
        <v>516</v>
      </c>
      <c r="D195" s="193" t="s">
        <v>517</v>
      </c>
      <c r="E195" s="194" t="s">
        <v>167</v>
      </c>
      <c r="F195" s="195">
        <v>2</v>
      </c>
      <c r="G195" s="191">
        <v>627.76</v>
      </c>
      <c r="H195" s="192">
        <f t="shared" si="38"/>
        <v>1255.52</v>
      </c>
      <c r="I195" s="192" t="s">
        <v>12</v>
      </c>
      <c r="J195" s="192">
        <f t="shared" si="40"/>
        <v>779.67791999999997</v>
      </c>
      <c r="K195" s="192">
        <f t="shared" si="41"/>
        <v>1559.36</v>
      </c>
      <c r="L195" s="250">
        <f t="shared" si="39"/>
        <v>1.5700231434536484E-4</v>
      </c>
    </row>
    <row r="196" spans="1:12" s="3" customFormat="1" ht="33.75" customHeight="1">
      <c r="A196" s="28" t="s">
        <v>518</v>
      </c>
      <c r="B196" s="28" t="s">
        <v>160</v>
      </c>
      <c r="C196" s="43" t="s">
        <v>519</v>
      </c>
      <c r="D196" s="193" t="s">
        <v>520</v>
      </c>
      <c r="E196" s="194" t="s">
        <v>167</v>
      </c>
      <c r="F196" s="195">
        <v>2</v>
      </c>
      <c r="G196" s="191">
        <f>'Composições - CCU'!F1554</f>
        <v>2455.5719800000002</v>
      </c>
      <c r="H196" s="192">
        <f t="shared" si="38"/>
        <v>4911.1439600000003</v>
      </c>
      <c r="I196" s="192" t="s">
        <v>12</v>
      </c>
      <c r="J196" s="192">
        <f t="shared" si="40"/>
        <v>3049.8203991600003</v>
      </c>
      <c r="K196" s="192">
        <f t="shared" si="41"/>
        <v>6099.64</v>
      </c>
      <c r="L196" s="250">
        <f t="shared" si="39"/>
        <v>6.1413502762258968E-4</v>
      </c>
    </row>
    <row r="197" spans="1:12" s="3" customFormat="1" ht="33.75" customHeight="1">
      <c r="A197" s="28" t="s">
        <v>521</v>
      </c>
      <c r="B197" s="28" t="s">
        <v>160</v>
      </c>
      <c r="C197" s="43" t="s">
        <v>522</v>
      </c>
      <c r="D197" s="193" t="s">
        <v>523</v>
      </c>
      <c r="E197" s="194" t="s">
        <v>167</v>
      </c>
      <c r="F197" s="195">
        <v>3</v>
      </c>
      <c r="G197" s="191">
        <f>'Composições - CCU'!F1577</f>
        <v>1906.1766500000001</v>
      </c>
      <c r="H197" s="192">
        <f t="shared" si="38"/>
        <v>5718.5299500000001</v>
      </c>
      <c r="I197" s="192" t="s">
        <v>12</v>
      </c>
      <c r="J197" s="192">
        <f t="shared" si="40"/>
        <v>2367.4713993</v>
      </c>
      <c r="K197" s="192">
        <f t="shared" si="41"/>
        <v>7102.41</v>
      </c>
      <c r="L197" s="250">
        <f t="shared" si="39"/>
        <v>7.1509773716759621E-4</v>
      </c>
    </row>
    <row r="198" spans="1:12" s="3" customFormat="1" ht="33.75" customHeight="1">
      <c r="A198" s="28" t="s">
        <v>524</v>
      </c>
      <c r="B198" s="28" t="s">
        <v>160</v>
      </c>
      <c r="C198" s="43" t="s">
        <v>525</v>
      </c>
      <c r="D198" s="193" t="s">
        <v>526</v>
      </c>
      <c r="E198" s="194" t="s">
        <v>167</v>
      </c>
      <c r="F198" s="195">
        <v>2</v>
      </c>
      <c r="G198" s="191">
        <f>'Composições - CCU'!F1600</f>
        <v>913.48599000000002</v>
      </c>
      <c r="H198" s="192">
        <f t="shared" si="38"/>
        <v>1826.97198</v>
      </c>
      <c r="I198" s="192" t="s">
        <v>12</v>
      </c>
      <c r="J198" s="192">
        <f t="shared" si="40"/>
        <v>1134.5495995799999</v>
      </c>
      <c r="K198" s="192">
        <f t="shared" si="41"/>
        <v>2269.1</v>
      </c>
      <c r="L198" s="250">
        <f t="shared" si="39"/>
        <v>2.2846164547062089E-4</v>
      </c>
    </row>
    <row r="199" spans="1:12" s="3" customFormat="1" ht="30">
      <c r="A199" s="28" t="s">
        <v>527</v>
      </c>
      <c r="B199" s="28" t="s">
        <v>160</v>
      </c>
      <c r="C199" s="43" t="s">
        <v>528</v>
      </c>
      <c r="D199" s="193" t="s">
        <v>529</v>
      </c>
      <c r="E199" s="194" t="s">
        <v>167</v>
      </c>
      <c r="F199" s="195">
        <v>4</v>
      </c>
      <c r="G199" s="191">
        <f>'Composições - CCU'!F1623</f>
        <v>1382.5620699999999</v>
      </c>
      <c r="H199" s="192">
        <f t="shared" si="38"/>
        <v>5530.2482799999998</v>
      </c>
      <c r="I199" s="192" t="s">
        <v>12</v>
      </c>
      <c r="J199" s="192">
        <f t="shared" si="40"/>
        <v>1717.1420909399999</v>
      </c>
      <c r="K199" s="192">
        <f t="shared" si="41"/>
        <v>6868.57</v>
      </c>
      <c r="L199" s="250">
        <f t="shared" si="39"/>
        <v>6.9155383377997553E-4</v>
      </c>
    </row>
    <row r="200" spans="1:12" s="3" customFormat="1" ht="30">
      <c r="A200" s="28" t="s">
        <v>530</v>
      </c>
      <c r="B200" s="28" t="s">
        <v>160</v>
      </c>
      <c r="C200" s="43" t="s">
        <v>531</v>
      </c>
      <c r="D200" s="193" t="s">
        <v>532</v>
      </c>
      <c r="E200" s="194" t="s">
        <v>167</v>
      </c>
      <c r="F200" s="195">
        <v>6</v>
      </c>
      <c r="G200" s="191">
        <f>'Composições - CCU'!F1647</f>
        <v>1405.0731499999999</v>
      </c>
      <c r="H200" s="192">
        <f t="shared" si="38"/>
        <v>8430.4388999999992</v>
      </c>
      <c r="I200" s="192" t="s">
        <v>12</v>
      </c>
      <c r="J200" s="192">
        <f t="shared" si="40"/>
        <v>1745.1008522999998</v>
      </c>
      <c r="K200" s="192">
        <f t="shared" si="41"/>
        <v>10470.61</v>
      </c>
      <c r="L200" s="250">
        <f t="shared" si="39"/>
        <v>1.0542209641184338E-3</v>
      </c>
    </row>
    <row r="201" spans="1:12" s="3" customFormat="1" ht="30">
      <c r="A201" s="28" t="s">
        <v>533</v>
      </c>
      <c r="B201" s="28" t="s">
        <v>160</v>
      </c>
      <c r="C201" s="43" t="s">
        <v>534</v>
      </c>
      <c r="D201" s="193" t="s">
        <v>535</v>
      </c>
      <c r="E201" s="194" t="s">
        <v>167</v>
      </c>
      <c r="F201" s="195">
        <v>4</v>
      </c>
      <c r="G201" s="191">
        <f>'Composições - CCU'!F1671</f>
        <v>846.21668</v>
      </c>
      <c r="H201" s="192">
        <f t="shared" si="38"/>
        <v>3384.86672</v>
      </c>
      <c r="I201" s="192" t="s">
        <v>12</v>
      </c>
      <c r="J201" s="192">
        <f t="shared" si="40"/>
        <v>1051.0011165599999</v>
      </c>
      <c r="K201" s="192">
        <f t="shared" si="41"/>
        <v>4204</v>
      </c>
      <c r="L201" s="250">
        <f t="shared" si="39"/>
        <v>4.2327475984244424E-4</v>
      </c>
    </row>
    <row r="202" spans="1:12" s="3" customFormat="1" ht="30">
      <c r="A202" s="28" t="s">
        <v>536</v>
      </c>
      <c r="B202" s="28" t="s">
        <v>160</v>
      </c>
      <c r="C202" s="43" t="s">
        <v>537</v>
      </c>
      <c r="D202" s="193" t="s">
        <v>538</v>
      </c>
      <c r="E202" s="194" t="s">
        <v>167</v>
      </c>
      <c r="F202" s="195">
        <v>18</v>
      </c>
      <c r="G202" s="191">
        <f>'Composições - CCU'!F1695</f>
        <v>726.25890000000004</v>
      </c>
      <c r="H202" s="192">
        <f t="shared" si="38"/>
        <v>13072.6602</v>
      </c>
      <c r="I202" s="192" t="s">
        <v>12</v>
      </c>
      <c r="J202" s="192">
        <f t="shared" si="40"/>
        <v>902.01355380000007</v>
      </c>
      <c r="K202" s="192">
        <f t="shared" si="41"/>
        <v>16236.24</v>
      </c>
      <c r="L202" s="250">
        <f t="shared" si="39"/>
        <v>1.6347265905671472E-3</v>
      </c>
    </row>
    <row r="203" spans="1:12" s="3" customFormat="1" ht="30">
      <c r="A203" s="28" t="s">
        <v>539</v>
      </c>
      <c r="B203" s="28" t="s">
        <v>160</v>
      </c>
      <c r="C203" s="43" t="s">
        <v>540</v>
      </c>
      <c r="D203" s="193" t="s">
        <v>541</v>
      </c>
      <c r="E203" s="194" t="s">
        <v>167</v>
      </c>
      <c r="F203" s="195">
        <v>8</v>
      </c>
      <c r="G203" s="191">
        <f>'Composições - CCU'!F1719</f>
        <v>597.16939000000002</v>
      </c>
      <c r="H203" s="192">
        <f t="shared" si="38"/>
        <v>4777.3551200000002</v>
      </c>
      <c r="I203" s="192" t="s">
        <v>12</v>
      </c>
      <c r="J203" s="192">
        <f t="shared" si="40"/>
        <v>741.68438237999999</v>
      </c>
      <c r="K203" s="192">
        <f t="shared" si="41"/>
        <v>5933.48</v>
      </c>
      <c r="L203" s="250">
        <f t="shared" si="39"/>
        <v>5.9740540485964458E-4</v>
      </c>
    </row>
    <row r="204" spans="1:12" s="3" customFormat="1" ht="30">
      <c r="A204" s="28" t="s">
        <v>542</v>
      </c>
      <c r="B204" s="28" t="s">
        <v>160</v>
      </c>
      <c r="C204" s="43" t="s">
        <v>543</v>
      </c>
      <c r="D204" s="193" t="s">
        <v>544</v>
      </c>
      <c r="E204" s="194" t="s">
        <v>167</v>
      </c>
      <c r="F204" s="195">
        <v>9</v>
      </c>
      <c r="G204" s="191">
        <f>'Composições - CCU'!F1743</f>
        <v>457.12333999999998</v>
      </c>
      <c r="H204" s="192">
        <f t="shared" si="38"/>
        <v>4114.11006</v>
      </c>
      <c r="I204" s="192" t="s">
        <v>12</v>
      </c>
      <c r="J204" s="192">
        <f t="shared" ref="J204:J235" si="42">IF(E204="","",IF(I204=$G$4,(G204*(1+$H$4)),(G204*(1+$H$5))))</f>
        <v>567.74718827999993</v>
      </c>
      <c r="K204" s="192">
        <f t="shared" ref="K204:K235" si="43">ROUND((IF(C204="","",F204*J204)),2)</f>
        <v>5109.72</v>
      </c>
      <c r="L204" s="250">
        <f t="shared" si="39"/>
        <v>5.1446610510516989E-4</v>
      </c>
    </row>
    <row r="205" spans="1:12" s="3" customFormat="1" ht="30">
      <c r="A205" s="28" t="s">
        <v>545</v>
      </c>
      <c r="B205" s="28" t="s">
        <v>160</v>
      </c>
      <c r="C205" s="43" t="s">
        <v>546</v>
      </c>
      <c r="D205" s="193" t="s">
        <v>547</v>
      </c>
      <c r="E205" s="194" t="s">
        <v>167</v>
      </c>
      <c r="F205" s="195">
        <v>2</v>
      </c>
      <c r="G205" s="191">
        <f>'Composições - CCU'!F1767</f>
        <v>335.54444000000001</v>
      </c>
      <c r="H205" s="192">
        <f t="shared" si="38"/>
        <v>671.08888000000002</v>
      </c>
      <c r="I205" s="192" t="s">
        <v>12</v>
      </c>
      <c r="J205" s="192">
        <f t="shared" si="42"/>
        <v>416.74619447999999</v>
      </c>
      <c r="K205" s="192">
        <f t="shared" si="43"/>
        <v>833.49</v>
      </c>
      <c r="L205" s="250">
        <f t="shared" si="39"/>
        <v>8.3918953278087265E-5</v>
      </c>
    </row>
    <row r="206" spans="1:12" s="3" customFormat="1" ht="45">
      <c r="A206" s="28" t="s">
        <v>548</v>
      </c>
      <c r="B206" s="28" t="s">
        <v>160</v>
      </c>
      <c r="C206" s="43" t="s">
        <v>549</v>
      </c>
      <c r="D206" s="193" t="s">
        <v>550</v>
      </c>
      <c r="E206" s="194" t="s">
        <v>167</v>
      </c>
      <c r="F206" s="195">
        <v>5</v>
      </c>
      <c r="G206" s="191">
        <f>'Composições - CCU'!F1791</f>
        <v>781.56949999999995</v>
      </c>
      <c r="H206" s="192">
        <f t="shared" si="38"/>
        <v>3907.8474999999999</v>
      </c>
      <c r="I206" s="192" t="s">
        <v>12</v>
      </c>
      <c r="J206" s="192">
        <f t="shared" si="42"/>
        <v>970.70931899999994</v>
      </c>
      <c r="K206" s="192">
        <f t="shared" si="43"/>
        <v>4853.55</v>
      </c>
      <c r="L206" s="250">
        <f t="shared" si="39"/>
        <v>4.8867393212019398E-4</v>
      </c>
    </row>
    <row r="207" spans="1:12" s="3" customFormat="1" ht="45">
      <c r="A207" s="28" t="s">
        <v>551</v>
      </c>
      <c r="B207" s="28" t="s">
        <v>160</v>
      </c>
      <c r="C207" s="43" t="s">
        <v>552</v>
      </c>
      <c r="D207" s="193" t="s">
        <v>553</v>
      </c>
      <c r="E207" s="194" t="s">
        <v>167</v>
      </c>
      <c r="F207" s="195">
        <v>2</v>
      </c>
      <c r="G207" s="191">
        <f>'Composições - CCU'!F1814</f>
        <v>643.60333799999989</v>
      </c>
      <c r="H207" s="192">
        <f t="shared" si="38"/>
        <v>1287.2066759999998</v>
      </c>
      <c r="I207" s="192" t="s">
        <v>12</v>
      </c>
      <c r="J207" s="192">
        <f t="shared" si="42"/>
        <v>799.35534579599982</v>
      </c>
      <c r="K207" s="192">
        <f t="shared" si="43"/>
        <v>1598.71</v>
      </c>
      <c r="L207" s="250">
        <f t="shared" si="39"/>
        <v>1.6096422248042675E-4</v>
      </c>
    </row>
    <row r="208" spans="1:12" s="3" customFormat="1" ht="45">
      <c r="A208" s="28" t="s">
        <v>554</v>
      </c>
      <c r="B208" s="28" t="s">
        <v>160</v>
      </c>
      <c r="C208" s="43" t="s">
        <v>555</v>
      </c>
      <c r="D208" s="193" t="s">
        <v>556</v>
      </c>
      <c r="E208" s="194" t="s">
        <v>167</v>
      </c>
      <c r="F208" s="195">
        <v>5</v>
      </c>
      <c r="G208" s="191">
        <f>'Composições - CCU'!F1837</f>
        <v>502.96545600000002</v>
      </c>
      <c r="H208" s="192">
        <f t="shared" si="38"/>
        <v>2514.82728</v>
      </c>
      <c r="I208" s="192" t="s">
        <v>12</v>
      </c>
      <c r="J208" s="192">
        <f t="shared" si="42"/>
        <v>624.68309635200001</v>
      </c>
      <c r="K208" s="192">
        <f t="shared" si="43"/>
        <v>3123.42</v>
      </c>
      <c r="L208" s="250">
        <f t="shared" si="39"/>
        <v>3.144778426229989E-4</v>
      </c>
    </row>
    <row r="209" spans="1:12" s="3" customFormat="1" ht="45">
      <c r="A209" s="28" t="s">
        <v>557</v>
      </c>
      <c r="B209" s="28" t="s">
        <v>160</v>
      </c>
      <c r="C209" s="43" t="s">
        <v>558</v>
      </c>
      <c r="D209" s="193" t="s">
        <v>559</v>
      </c>
      <c r="E209" s="194" t="s">
        <v>167</v>
      </c>
      <c r="F209" s="195">
        <v>2</v>
      </c>
      <c r="G209" s="191">
        <f>'Composições - CCU'!F1860</f>
        <v>339.33030399999996</v>
      </c>
      <c r="H209" s="192">
        <f t="shared" si="38"/>
        <v>678.66060799999991</v>
      </c>
      <c r="I209" s="192" t="s">
        <v>12</v>
      </c>
      <c r="J209" s="192">
        <f t="shared" si="42"/>
        <v>421.44823756799997</v>
      </c>
      <c r="K209" s="192">
        <f t="shared" si="43"/>
        <v>842.9</v>
      </c>
      <c r="L209" s="250">
        <f t="shared" si="39"/>
        <v>8.4866387980779323E-5</v>
      </c>
    </row>
    <row r="210" spans="1:12" s="3" customFormat="1" ht="30">
      <c r="A210" s="28" t="s">
        <v>560</v>
      </c>
      <c r="B210" s="28" t="s">
        <v>160</v>
      </c>
      <c r="C210" s="43" t="s">
        <v>561</v>
      </c>
      <c r="D210" s="193" t="s">
        <v>562</v>
      </c>
      <c r="E210" s="194" t="s">
        <v>167</v>
      </c>
      <c r="F210" s="195">
        <v>4</v>
      </c>
      <c r="G210" s="191">
        <f>'Composições - CCU'!F1883</f>
        <v>84.398520000000005</v>
      </c>
      <c r="H210" s="192">
        <f t="shared" si="38"/>
        <v>337.59408000000002</v>
      </c>
      <c r="I210" s="192" t="s">
        <v>12</v>
      </c>
      <c r="J210" s="192">
        <f t="shared" si="42"/>
        <v>104.82296184</v>
      </c>
      <c r="K210" s="192">
        <f t="shared" si="43"/>
        <v>419.29</v>
      </c>
      <c r="L210" s="250">
        <f t="shared" si="39"/>
        <v>4.221571694917661E-5</v>
      </c>
    </row>
    <row r="211" spans="1:12" s="3" customFormat="1" ht="30">
      <c r="A211" s="28" t="s">
        <v>563</v>
      </c>
      <c r="B211" s="28" t="s">
        <v>160</v>
      </c>
      <c r="C211" s="43" t="s">
        <v>564</v>
      </c>
      <c r="D211" s="193" t="s">
        <v>565</v>
      </c>
      <c r="E211" s="194" t="s">
        <v>167</v>
      </c>
      <c r="F211" s="195">
        <v>6</v>
      </c>
      <c r="G211" s="191">
        <f>'Composições - CCU'!F1906</f>
        <v>134.44300000000001</v>
      </c>
      <c r="H211" s="192">
        <f t="shared" si="38"/>
        <v>806.65800000000013</v>
      </c>
      <c r="I211" s="192" t="s">
        <v>12</v>
      </c>
      <c r="J211" s="192">
        <f t="shared" si="42"/>
        <v>166.978206</v>
      </c>
      <c r="K211" s="192">
        <f t="shared" si="43"/>
        <v>1001.87</v>
      </c>
      <c r="L211" s="250">
        <f t="shared" si="39"/>
        <v>1.0087209411116785E-4</v>
      </c>
    </row>
    <row r="212" spans="1:12" s="3" customFormat="1" ht="30">
      <c r="A212" s="28" t="s">
        <v>566</v>
      </c>
      <c r="B212" s="28" t="s">
        <v>160</v>
      </c>
      <c r="C212" s="43" t="s">
        <v>567</v>
      </c>
      <c r="D212" s="193" t="s">
        <v>568</v>
      </c>
      <c r="E212" s="194" t="s">
        <v>167</v>
      </c>
      <c r="F212" s="195">
        <v>6</v>
      </c>
      <c r="G212" s="191">
        <f>'Composições - CCU'!F1929</f>
        <v>76.391239999999996</v>
      </c>
      <c r="H212" s="192">
        <f t="shared" si="38"/>
        <v>458.34744000000001</v>
      </c>
      <c r="I212" s="192" t="s">
        <v>12</v>
      </c>
      <c r="J212" s="192">
        <f t="shared" si="42"/>
        <v>94.877920079999996</v>
      </c>
      <c r="K212" s="192">
        <f t="shared" si="43"/>
        <v>569.27</v>
      </c>
      <c r="L212" s="250">
        <f t="shared" si="39"/>
        <v>5.731627557933117E-5</v>
      </c>
    </row>
    <row r="213" spans="1:12" s="3" customFormat="1" ht="30">
      <c r="A213" s="28" t="s">
        <v>569</v>
      </c>
      <c r="B213" s="28" t="s">
        <v>160</v>
      </c>
      <c r="C213" s="43" t="s">
        <v>570</v>
      </c>
      <c r="D213" s="193" t="s">
        <v>571</v>
      </c>
      <c r="E213" s="194" t="s">
        <v>167</v>
      </c>
      <c r="F213" s="195">
        <v>33</v>
      </c>
      <c r="G213" s="191">
        <f>'Composições - CCU'!F1952</f>
        <v>62.548999999999999</v>
      </c>
      <c r="H213" s="192">
        <f t="shared" si="38"/>
        <v>2064.1170000000002</v>
      </c>
      <c r="I213" s="192" t="s">
        <v>12</v>
      </c>
      <c r="J213" s="192">
        <f t="shared" si="42"/>
        <v>77.685857999999996</v>
      </c>
      <c r="K213" s="192">
        <f t="shared" si="43"/>
        <v>2563.63</v>
      </c>
      <c r="L213" s="250">
        <f t="shared" si="39"/>
        <v>2.581160496134361E-4</v>
      </c>
    </row>
    <row r="214" spans="1:12" s="3" customFormat="1" ht="30">
      <c r="A214" s="28" t="s">
        <v>572</v>
      </c>
      <c r="B214" s="28" t="s">
        <v>160</v>
      </c>
      <c r="C214" s="43" t="s">
        <v>573</v>
      </c>
      <c r="D214" s="193" t="s">
        <v>574</v>
      </c>
      <c r="E214" s="194" t="s">
        <v>167</v>
      </c>
      <c r="F214" s="195">
        <v>8</v>
      </c>
      <c r="G214" s="191">
        <f>'Composições - CCU'!F1975</f>
        <v>74.558357999999998</v>
      </c>
      <c r="H214" s="192">
        <f t="shared" si="38"/>
        <v>596.46686399999999</v>
      </c>
      <c r="I214" s="192" t="s">
        <v>12</v>
      </c>
      <c r="J214" s="192">
        <f t="shared" si="42"/>
        <v>92.601480635999991</v>
      </c>
      <c r="K214" s="192">
        <f t="shared" si="43"/>
        <v>740.81</v>
      </c>
      <c r="L214" s="250">
        <f t="shared" si="39"/>
        <v>7.4587577269001219E-5</v>
      </c>
    </row>
    <row r="215" spans="1:12" s="3" customFormat="1" ht="30">
      <c r="A215" s="28" t="s">
        <v>575</v>
      </c>
      <c r="B215" s="28" t="s">
        <v>160</v>
      </c>
      <c r="C215" s="43" t="s">
        <v>576</v>
      </c>
      <c r="D215" s="193" t="s">
        <v>577</v>
      </c>
      <c r="E215" s="194" t="s">
        <v>167</v>
      </c>
      <c r="F215" s="195">
        <v>26</v>
      </c>
      <c r="G215" s="191">
        <f>'Composições - CCU'!F1998</f>
        <v>57.609005999999994</v>
      </c>
      <c r="H215" s="192">
        <f t="shared" si="38"/>
        <v>1497.8341559999999</v>
      </c>
      <c r="I215" s="192" t="s">
        <v>12</v>
      </c>
      <c r="J215" s="192">
        <f t="shared" si="42"/>
        <v>71.550385451999986</v>
      </c>
      <c r="K215" s="192">
        <f t="shared" si="43"/>
        <v>1860.31</v>
      </c>
      <c r="L215" s="250">
        <f t="shared" si="39"/>
        <v>1.8730310858289663E-4</v>
      </c>
    </row>
    <row r="216" spans="1:12" s="3" customFormat="1" ht="30">
      <c r="A216" s="28" t="s">
        <v>578</v>
      </c>
      <c r="B216" s="28" t="s">
        <v>160</v>
      </c>
      <c r="C216" s="43" t="s">
        <v>579</v>
      </c>
      <c r="D216" s="193" t="s">
        <v>580</v>
      </c>
      <c r="E216" s="194" t="s">
        <v>167</v>
      </c>
      <c r="F216" s="195">
        <v>4</v>
      </c>
      <c r="G216" s="191">
        <f>'Composições - CCU'!F2021</f>
        <v>41.913144000000003</v>
      </c>
      <c r="H216" s="192">
        <f t="shared" si="38"/>
        <v>167.65257600000001</v>
      </c>
      <c r="I216" s="192" t="s">
        <v>12</v>
      </c>
      <c r="J216" s="192">
        <f t="shared" si="42"/>
        <v>52.056124848000003</v>
      </c>
      <c r="K216" s="192">
        <f t="shared" si="43"/>
        <v>208.22</v>
      </c>
      <c r="L216" s="250">
        <f t="shared" si="39"/>
        <v>2.0964384037676915E-5</v>
      </c>
    </row>
    <row r="217" spans="1:12" s="3" customFormat="1" ht="30">
      <c r="A217" s="28" t="s">
        <v>581</v>
      </c>
      <c r="B217" s="28" t="s">
        <v>160</v>
      </c>
      <c r="C217" s="43" t="s">
        <v>582</v>
      </c>
      <c r="D217" s="193" t="s">
        <v>583</v>
      </c>
      <c r="E217" s="194" t="s">
        <v>167</v>
      </c>
      <c r="F217" s="195">
        <v>10</v>
      </c>
      <c r="G217" s="191">
        <f>'Composições - CCU'!F2090</f>
        <v>17.697179999999999</v>
      </c>
      <c r="H217" s="192">
        <f t="shared" si="38"/>
        <v>176.9718</v>
      </c>
      <c r="I217" s="192" t="s">
        <v>12</v>
      </c>
      <c r="J217" s="192">
        <f t="shared" si="42"/>
        <v>21.979897559999998</v>
      </c>
      <c r="K217" s="192">
        <f t="shared" si="43"/>
        <v>219.8</v>
      </c>
      <c r="L217" s="250">
        <f t="shared" si="39"/>
        <v>2.2130302619735789E-5</v>
      </c>
    </row>
    <row r="218" spans="1:12" s="3" customFormat="1" ht="30">
      <c r="A218" s="28" t="s">
        <v>584</v>
      </c>
      <c r="B218" s="28" t="s">
        <v>160</v>
      </c>
      <c r="C218" s="43" t="s">
        <v>585</v>
      </c>
      <c r="D218" s="193" t="s">
        <v>586</v>
      </c>
      <c r="E218" s="194" t="s">
        <v>167</v>
      </c>
      <c r="F218" s="195">
        <v>48</v>
      </c>
      <c r="G218" s="191">
        <f>'Composições - CCU'!F2113</f>
        <v>12.68938</v>
      </c>
      <c r="H218" s="192">
        <f t="shared" si="38"/>
        <v>609.09023999999999</v>
      </c>
      <c r="I218" s="192" t="s">
        <v>12</v>
      </c>
      <c r="J218" s="192">
        <f t="shared" si="42"/>
        <v>15.760209959999999</v>
      </c>
      <c r="K218" s="192">
        <f t="shared" si="43"/>
        <v>756.49</v>
      </c>
      <c r="L218" s="250">
        <f t="shared" si="39"/>
        <v>7.6166299494103388E-5</v>
      </c>
    </row>
    <row r="219" spans="1:12" s="3" customFormat="1" ht="30">
      <c r="A219" s="28" t="s">
        <v>587</v>
      </c>
      <c r="B219" s="28" t="s">
        <v>160</v>
      </c>
      <c r="C219" s="43" t="s">
        <v>588</v>
      </c>
      <c r="D219" s="193" t="s">
        <v>589</v>
      </c>
      <c r="E219" s="194" t="s">
        <v>167</v>
      </c>
      <c r="F219" s="195">
        <v>64</v>
      </c>
      <c r="G219" s="191">
        <f>'Composições - CCU'!F2136</f>
        <v>11.961680000000001</v>
      </c>
      <c r="H219" s="192">
        <f t="shared" si="38"/>
        <v>765.54752000000008</v>
      </c>
      <c r="I219" s="192" t="s">
        <v>12</v>
      </c>
      <c r="J219" s="192">
        <f t="shared" si="42"/>
        <v>14.856406560000002</v>
      </c>
      <c r="K219" s="192">
        <f t="shared" si="43"/>
        <v>950.81</v>
      </c>
      <c r="L219" s="250">
        <f t="shared" si="39"/>
        <v>9.5731178498048152E-5</v>
      </c>
    </row>
    <row r="220" spans="1:12" s="3" customFormat="1" ht="30">
      <c r="A220" s="28" t="s">
        <v>590</v>
      </c>
      <c r="B220" s="28" t="s">
        <v>160</v>
      </c>
      <c r="C220" s="43" t="s">
        <v>591</v>
      </c>
      <c r="D220" s="193" t="s">
        <v>592</v>
      </c>
      <c r="E220" s="194" t="s">
        <v>167</v>
      </c>
      <c r="F220" s="195">
        <v>264</v>
      </c>
      <c r="G220" s="191">
        <f>'Composições - CCU'!F2159</f>
        <v>77.454679999999996</v>
      </c>
      <c r="H220" s="192">
        <f t="shared" si="38"/>
        <v>20448.035519999998</v>
      </c>
      <c r="I220" s="192" t="s">
        <v>12</v>
      </c>
      <c r="J220" s="192">
        <f t="shared" si="42"/>
        <v>96.19871255999999</v>
      </c>
      <c r="K220" s="192">
        <f t="shared" si="43"/>
        <v>25396.46</v>
      </c>
      <c r="L220" s="250">
        <f t="shared" si="39"/>
        <v>2.5570124898544816E-3</v>
      </c>
    </row>
    <row r="221" spans="1:12" s="3" customFormat="1" ht="30">
      <c r="A221" s="28" t="s">
        <v>593</v>
      </c>
      <c r="B221" s="28" t="s">
        <v>160</v>
      </c>
      <c r="C221" s="43" t="s">
        <v>594</v>
      </c>
      <c r="D221" s="193" t="s">
        <v>595</v>
      </c>
      <c r="E221" s="194" t="s">
        <v>167</v>
      </c>
      <c r="F221" s="195">
        <v>64</v>
      </c>
      <c r="G221" s="191">
        <f>'Composições - CCU'!F2182</f>
        <v>10.335610599999999</v>
      </c>
      <c r="H221" s="192">
        <f t="shared" si="38"/>
        <v>661.47907839999993</v>
      </c>
      <c r="I221" s="192" t="s">
        <v>12</v>
      </c>
      <c r="J221" s="192">
        <f t="shared" si="42"/>
        <v>12.836828365199999</v>
      </c>
      <c r="K221" s="192">
        <f t="shared" si="43"/>
        <v>821.56</v>
      </c>
      <c r="L221" s="250">
        <f t="shared" si="39"/>
        <v>8.2717795360646648E-5</v>
      </c>
    </row>
    <row r="222" spans="1:12" s="3" customFormat="1" ht="30">
      <c r="A222" s="28" t="s">
        <v>596</v>
      </c>
      <c r="B222" s="28" t="s">
        <v>160</v>
      </c>
      <c r="C222" s="43" t="s">
        <v>597</v>
      </c>
      <c r="D222" s="193" t="s">
        <v>598</v>
      </c>
      <c r="E222" s="194" t="s">
        <v>167</v>
      </c>
      <c r="F222" s="195">
        <v>88</v>
      </c>
      <c r="G222" s="191">
        <f>'Composições - CCU'!F2205</f>
        <v>10.335610599999999</v>
      </c>
      <c r="H222" s="192">
        <f t="shared" si="38"/>
        <v>909.53373279999994</v>
      </c>
      <c r="I222" s="192" t="s">
        <v>12</v>
      </c>
      <c r="J222" s="192">
        <f t="shared" si="42"/>
        <v>12.836828365199999</v>
      </c>
      <c r="K222" s="192">
        <f t="shared" si="43"/>
        <v>1129.6400000000001</v>
      </c>
      <c r="L222" s="250">
        <f t="shared" si="39"/>
        <v>1.1373646520181226E-4</v>
      </c>
    </row>
    <row r="223" spans="1:12" s="3" customFormat="1" ht="30">
      <c r="A223" s="28" t="s">
        <v>599</v>
      </c>
      <c r="B223" s="28" t="s">
        <v>160</v>
      </c>
      <c r="C223" s="43" t="s">
        <v>600</v>
      </c>
      <c r="D223" s="193" t="s">
        <v>601</v>
      </c>
      <c r="E223" s="194" t="s">
        <v>167</v>
      </c>
      <c r="F223" s="195">
        <v>16</v>
      </c>
      <c r="G223" s="191">
        <f>'Composições - CCU'!F2228</f>
        <v>9.7407758000000015</v>
      </c>
      <c r="H223" s="192">
        <f t="shared" si="38"/>
        <v>155.85241280000002</v>
      </c>
      <c r="I223" s="192" t="s">
        <v>12</v>
      </c>
      <c r="J223" s="192">
        <f t="shared" si="42"/>
        <v>12.098043543600001</v>
      </c>
      <c r="K223" s="192">
        <f t="shared" si="43"/>
        <v>193.57</v>
      </c>
      <c r="L223" s="250">
        <f t="shared" si="39"/>
        <v>1.9489366142412449E-5</v>
      </c>
    </row>
    <row r="224" spans="1:12" s="3" customFormat="1" ht="30">
      <c r="A224" s="28" t="s">
        <v>602</v>
      </c>
      <c r="B224" s="28" t="s">
        <v>160</v>
      </c>
      <c r="C224" s="43" t="s">
        <v>603</v>
      </c>
      <c r="D224" s="193" t="s">
        <v>604</v>
      </c>
      <c r="E224" s="194" t="s">
        <v>167</v>
      </c>
      <c r="F224" s="195">
        <v>4</v>
      </c>
      <c r="G224" s="191">
        <f>'Composições - CCU'!F2044</f>
        <v>138.13576</v>
      </c>
      <c r="H224" s="192">
        <f t="shared" si="38"/>
        <v>552.54304000000002</v>
      </c>
      <c r="I224" s="192" t="s">
        <v>12</v>
      </c>
      <c r="J224" s="192">
        <f t="shared" si="42"/>
        <v>171.56461392</v>
      </c>
      <c r="K224" s="192">
        <f t="shared" si="43"/>
        <v>686.26</v>
      </c>
      <c r="L224" s="250">
        <f t="shared" si="39"/>
        <v>6.9095275140217835E-5</v>
      </c>
    </row>
    <row r="225" spans="1:12" s="3" customFormat="1" ht="30">
      <c r="A225" s="28" t="s">
        <v>605</v>
      </c>
      <c r="B225" s="28" t="s">
        <v>160</v>
      </c>
      <c r="C225" s="43" t="s">
        <v>606</v>
      </c>
      <c r="D225" s="193" t="s">
        <v>607</v>
      </c>
      <c r="E225" s="194" t="s">
        <v>167</v>
      </c>
      <c r="F225" s="195">
        <v>2</v>
      </c>
      <c r="G225" s="191">
        <f>'Composições - CCU'!F2067</f>
        <v>103.450608</v>
      </c>
      <c r="H225" s="192">
        <f t="shared" si="38"/>
        <v>206.90121600000001</v>
      </c>
      <c r="I225" s="192" t="s">
        <v>12</v>
      </c>
      <c r="J225" s="192">
        <f t="shared" si="42"/>
        <v>128.48565513599999</v>
      </c>
      <c r="K225" s="192">
        <f t="shared" si="43"/>
        <v>256.97000000000003</v>
      </c>
      <c r="L225" s="250">
        <f t="shared" si="39"/>
        <v>2.5872720037277095E-5</v>
      </c>
    </row>
    <row r="226" spans="1:12" s="3" customFormat="1">
      <c r="A226" s="134" t="s">
        <v>608</v>
      </c>
      <c r="B226" s="206" t="s">
        <v>34</v>
      </c>
      <c r="C226" s="206" t="s">
        <v>34</v>
      </c>
      <c r="D226" s="459" t="s">
        <v>609</v>
      </c>
      <c r="E226" s="455" t="s">
        <v>34</v>
      </c>
      <c r="F226" s="460"/>
      <c r="G226" s="455" t="s">
        <v>34</v>
      </c>
      <c r="H226" s="456"/>
      <c r="I226" s="456"/>
      <c r="J226" s="456"/>
      <c r="K226" s="461"/>
      <c r="L226" s="462"/>
    </row>
    <row r="227" spans="1:12" s="3" customFormat="1" ht="30">
      <c r="A227" s="28" t="s">
        <v>610</v>
      </c>
      <c r="B227" s="28" t="s">
        <v>160</v>
      </c>
      <c r="C227" s="43" t="s">
        <v>611</v>
      </c>
      <c r="D227" s="193" t="s">
        <v>612</v>
      </c>
      <c r="E227" s="194" t="s">
        <v>167</v>
      </c>
      <c r="F227" s="195">
        <v>10</v>
      </c>
      <c r="G227" s="191">
        <f>'Composições - CCU'!F2251</f>
        <v>760.67439999999999</v>
      </c>
      <c r="H227" s="192">
        <f t="shared" ref="H227:H262" si="44">IF(B227="","",F227*G227)</f>
        <v>7606.7439999999997</v>
      </c>
      <c r="I227" s="192" t="s">
        <v>12</v>
      </c>
      <c r="J227" s="192">
        <f>IF(E227="","",IF(I227=$G$4,(G227*(1+$H$4)),(G227*(1+$H$5))))</f>
        <v>944.75760479999997</v>
      </c>
      <c r="K227" s="192">
        <f>ROUND((IF(C227="","",F227*J227)),2)</f>
        <v>9447.58</v>
      </c>
      <c r="L227" s="250">
        <f t="shared" ref="L227:L262" si="45">IF(C227="","",K227/$K$734)</f>
        <v>9.5121840047390099E-4</v>
      </c>
    </row>
    <row r="228" spans="1:12" s="3" customFormat="1" ht="30">
      <c r="A228" s="28" t="s">
        <v>613</v>
      </c>
      <c r="B228" s="28" t="s">
        <v>160</v>
      </c>
      <c r="C228" s="43" t="s">
        <v>614</v>
      </c>
      <c r="D228" s="193" t="s">
        <v>615</v>
      </c>
      <c r="E228" s="194" t="s">
        <v>167</v>
      </c>
      <c r="F228" s="195">
        <v>5</v>
      </c>
      <c r="G228" s="191">
        <f>'Composições - CCU'!F2275</f>
        <v>494.67830000000004</v>
      </c>
      <c r="H228" s="192">
        <f t="shared" si="44"/>
        <v>2473.3915000000002</v>
      </c>
      <c r="I228" s="192" t="s">
        <v>12</v>
      </c>
      <c r="J228" s="192">
        <f t="shared" si="42"/>
        <v>614.39044860000001</v>
      </c>
      <c r="K228" s="192">
        <f t="shared" si="43"/>
        <v>3071.95</v>
      </c>
      <c r="L228" s="250">
        <f t="shared" si="45"/>
        <v>3.0929564664557483E-4</v>
      </c>
    </row>
    <row r="229" spans="1:12" s="3" customFormat="1" ht="30">
      <c r="A229" s="28" t="s">
        <v>616</v>
      </c>
      <c r="B229" s="28" t="s">
        <v>160</v>
      </c>
      <c r="C229" s="43" t="s">
        <v>617</v>
      </c>
      <c r="D229" s="193" t="s">
        <v>618</v>
      </c>
      <c r="E229" s="194" t="s">
        <v>167</v>
      </c>
      <c r="F229" s="195">
        <v>16</v>
      </c>
      <c r="G229" s="191">
        <f>'Composições - CCU'!F2299</f>
        <v>614.70524999999998</v>
      </c>
      <c r="H229" s="192">
        <f t="shared" si="44"/>
        <v>9835.2839999999997</v>
      </c>
      <c r="I229" s="192" t="s">
        <v>12</v>
      </c>
      <c r="J229" s="192">
        <f t="shared" si="42"/>
        <v>763.46392049999997</v>
      </c>
      <c r="K229" s="192">
        <f t="shared" si="43"/>
        <v>12215.42</v>
      </c>
      <c r="L229" s="250">
        <f t="shared" si="45"/>
        <v>1.2298950920253545E-3</v>
      </c>
    </row>
    <row r="230" spans="1:12" s="3" customFormat="1" ht="30">
      <c r="A230" s="28" t="s">
        <v>619</v>
      </c>
      <c r="B230" s="28" t="s">
        <v>160</v>
      </c>
      <c r="C230" s="43" t="s">
        <v>620</v>
      </c>
      <c r="D230" s="193" t="s">
        <v>621</v>
      </c>
      <c r="E230" s="194" t="s">
        <v>167</v>
      </c>
      <c r="F230" s="195">
        <v>1</v>
      </c>
      <c r="G230" s="191">
        <f>'Composições - CCU'!F2323</f>
        <v>248.03220000000002</v>
      </c>
      <c r="H230" s="192">
        <f t="shared" si="44"/>
        <v>248.03220000000002</v>
      </c>
      <c r="I230" s="192" t="s">
        <v>12</v>
      </c>
      <c r="J230" s="192">
        <f t="shared" si="42"/>
        <v>308.05599240000004</v>
      </c>
      <c r="K230" s="192">
        <f t="shared" si="43"/>
        <v>308.06</v>
      </c>
      <c r="L230" s="250">
        <f t="shared" si="45"/>
        <v>3.101665616485808E-5</v>
      </c>
    </row>
    <row r="231" spans="1:12" s="3" customFormat="1" ht="30">
      <c r="A231" s="28" t="s">
        <v>622</v>
      </c>
      <c r="B231" s="28" t="s">
        <v>2</v>
      </c>
      <c r="C231" s="43">
        <v>97457</v>
      </c>
      <c r="D231" s="193" t="s">
        <v>623</v>
      </c>
      <c r="E231" s="194" t="s">
        <v>167</v>
      </c>
      <c r="F231" s="195">
        <v>12</v>
      </c>
      <c r="G231" s="191">
        <v>642.24</v>
      </c>
      <c r="H231" s="192">
        <f t="shared" si="44"/>
        <v>7706.88</v>
      </c>
      <c r="I231" s="192" t="s">
        <v>12</v>
      </c>
      <c r="J231" s="192">
        <f t="shared" si="42"/>
        <v>797.66208000000006</v>
      </c>
      <c r="K231" s="192">
        <f t="shared" si="43"/>
        <v>9571.94</v>
      </c>
      <c r="L231" s="250">
        <f t="shared" si="45"/>
        <v>9.6373943975411184E-4</v>
      </c>
    </row>
    <row r="232" spans="1:12" s="3" customFormat="1" ht="30">
      <c r="A232" s="28" t="s">
        <v>624</v>
      </c>
      <c r="B232" s="28" t="s">
        <v>160</v>
      </c>
      <c r="C232" s="43" t="s">
        <v>625</v>
      </c>
      <c r="D232" s="193" t="s">
        <v>626</v>
      </c>
      <c r="E232" s="194" t="s">
        <v>167</v>
      </c>
      <c r="F232" s="195">
        <v>2</v>
      </c>
      <c r="G232" s="191">
        <f>'Composições - CCU'!F2347</f>
        <v>651.02440000000001</v>
      </c>
      <c r="H232" s="192">
        <f t="shared" si="44"/>
        <v>1302.0488</v>
      </c>
      <c r="I232" s="192" t="s">
        <v>12</v>
      </c>
      <c r="J232" s="192">
        <f t="shared" si="42"/>
        <v>808.57230479999998</v>
      </c>
      <c r="K232" s="192">
        <f t="shared" si="43"/>
        <v>1617.14</v>
      </c>
      <c r="L232" s="250">
        <f t="shared" si="45"/>
        <v>1.6281982519781408E-4</v>
      </c>
    </row>
    <row r="233" spans="1:12" s="3" customFormat="1" ht="30">
      <c r="A233" s="28" t="s">
        <v>627</v>
      </c>
      <c r="B233" s="28" t="s">
        <v>160</v>
      </c>
      <c r="C233" s="43" t="s">
        <v>628</v>
      </c>
      <c r="D233" s="193" t="s">
        <v>629</v>
      </c>
      <c r="E233" s="194" t="s">
        <v>167</v>
      </c>
      <c r="F233" s="195">
        <v>9</v>
      </c>
      <c r="G233" s="191">
        <f>'Composições - CCU'!F2371</f>
        <v>250.99524999999997</v>
      </c>
      <c r="H233" s="192">
        <f t="shared" si="44"/>
        <v>2258.9572499999999</v>
      </c>
      <c r="I233" s="192" t="s">
        <v>12</v>
      </c>
      <c r="J233" s="192">
        <f t="shared" si="42"/>
        <v>311.73610049999996</v>
      </c>
      <c r="K233" s="192">
        <f t="shared" si="43"/>
        <v>2805.62</v>
      </c>
      <c r="L233" s="250">
        <f t="shared" si="45"/>
        <v>2.8248052609637452E-4</v>
      </c>
    </row>
    <row r="234" spans="1:12" s="3" customFormat="1" ht="30">
      <c r="A234" s="28" t="s">
        <v>630</v>
      </c>
      <c r="B234" s="28" t="s">
        <v>2</v>
      </c>
      <c r="C234" s="43">
        <v>97456</v>
      </c>
      <c r="D234" s="193" t="s">
        <v>631</v>
      </c>
      <c r="E234" s="194" t="s">
        <v>167</v>
      </c>
      <c r="F234" s="195">
        <v>2</v>
      </c>
      <c r="G234" s="191">
        <v>725.73</v>
      </c>
      <c r="H234" s="192">
        <f t="shared" si="44"/>
        <v>1451.46</v>
      </c>
      <c r="I234" s="192" t="s">
        <v>12</v>
      </c>
      <c r="J234" s="192">
        <f t="shared" si="42"/>
        <v>901.35666000000003</v>
      </c>
      <c r="K234" s="192">
        <f t="shared" si="43"/>
        <v>1802.71</v>
      </c>
      <c r="L234" s="250">
        <f t="shared" si="45"/>
        <v>1.815037208172152E-4</v>
      </c>
    </row>
    <row r="235" spans="1:12" s="3" customFormat="1" ht="30">
      <c r="A235" s="28" t="s">
        <v>632</v>
      </c>
      <c r="B235" s="28" t="s">
        <v>160</v>
      </c>
      <c r="C235" s="43" t="s">
        <v>633</v>
      </c>
      <c r="D235" s="193" t="s">
        <v>634</v>
      </c>
      <c r="E235" s="194" t="s">
        <v>167</v>
      </c>
      <c r="F235" s="195">
        <v>1</v>
      </c>
      <c r="G235" s="191">
        <f>'Composições - CCU'!F2395</f>
        <v>581.17585999999994</v>
      </c>
      <c r="H235" s="192">
        <f t="shared" si="44"/>
        <v>581.17585999999994</v>
      </c>
      <c r="I235" s="192" t="s">
        <v>12</v>
      </c>
      <c r="J235" s="192">
        <f t="shared" si="42"/>
        <v>721.82041811999989</v>
      </c>
      <c r="K235" s="192">
        <f t="shared" si="43"/>
        <v>721.82</v>
      </c>
      <c r="L235" s="250">
        <f t="shared" si="45"/>
        <v>7.2675591615003126E-5</v>
      </c>
    </row>
    <row r="236" spans="1:12" s="3" customFormat="1" ht="30">
      <c r="A236" s="28" t="s">
        <v>635</v>
      </c>
      <c r="B236" s="28" t="s">
        <v>160</v>
      </c>
      <c r="C236" s="43" t="s">
        <v>636</v>
      </c>
      <c r="D236" s="193" t="s">
        <v>637</v>
      </c>
      <c r="E236" s="194" t="s">
        <v>167</v>
      </c>
      <c r="F236" s="195">
        <v>1</v>
      </c>
      <c r="G236" s="191">
        <f>'Composições - CCU'!F2419</f>
        <v>533.76091999999994</v>
      </c>
      <c r="H236" s="192">
        <f t="shared" si="44"/>
        <v>533.76091999999994</v>
      </c>
      <c r="I236" s="192" t="s">
        <v>12</v>
      </c>
      <c r="J236" s="192">
        <f t="shared" ref="J236:J253" si="46">IF(E236="","",IF(I236=$G$4,(G236*(1+$H$4)),(G236*(1+$H$5))))</f>
        <v>662.93106263999994</v>
      </c>
      <c r="K236" s="192">
        <f t="shared" ref="K236:K253" si="47">ROUND((IF(C236="","",F236*J236)),2)</f>
        <v>662.93</v>
      </c>
      <c r="L236" s="250">
        <f t="shared" si="45"/>
        <v>6.6746321727486097E-5</v>
      </c>
    </row>
    <row r="237" spans="1:12" s="3" customFormat="1" ht="30">
      <c r="A237" s="28" t="s">
        <v>638</v>
      </c>
      <c r="B237" s="28" t="s">
        <v>160</v>
      </c>
      <c r="C237" s="43" t="s">
        <v>639</v>
      </c>
      <c r="D237" s="193" t="s">
        <v>640</v>
      </c>
      <c r="E237" s="194" t="s">
        <v>167</v>
      </c>
      <c r="F237" s="195">
        <v>2</v>
      </c>
      <c r="G237" s="191">
        <f>'Composições - CCU'!F2443</f>
        <v>606.60888499999999</v>
      </c>
      <c r="H237" s="192">
        <f t="shared" si="44"/>
        <v>1213.21777</v>
      </c>
      <c r="I237" s="192" t="s">
        <v>12</v>
      </c>
      <c r="J237" s="192">
        <f t="shared" si="46"/>
        <v>753.40823517000001</v>
      </c>
      <c r="K237" s="192">
        <f t="shared" si="47"/>
        <v>1506.82</v>
      </c>
      <c r="L237" s="250">
        <f t="shared" si="45"/>
        <v>1.5171238668548807E-4</v>
      </c>
    </row>
    <row r="238" spans="1:12" s="3" customFormat="1" ht="30">
      <c r="A238" s="28" t="s">
        <v>641</v>
      </c>
      <c r="B238" s="28" t="s">
        <v>160</v>
      </c>
      <c r="C238" s="43" t="s">
        <v>642</v>
      </c>
      <c r="D238" s="193" t="s">
        <v>643</v>
      </c>
      <c r="E238" s="194" t="s">
        <v>167</v>
      </c>
      <c r="F238" s="195">
        <v>3</v>
      </c>
      <c r="G238" s="191">
        <f>'Composições - CCU'!F2467</f>
        <v>307.49850999999995</v>
      </c>
      <c r="H238" s="192">
        <f t="shared" si="44"/>
        <v>922.49552999999992</v>
      </c>
      <c r="I238" s="192" t="s">
        <v>12</v>
      </c>
      <c r="J238" s="192">
        <f t="shared" si="46"/>
        <v>381.91314941999997</v>
      </c>
      <c r="K238" s="192">
        <f t="shared" si="47"/>
        <v>1145.74</v>
      </c>
      <c r="L238" s="250">
        <f t="shared" si="45"/>
        <v>1.1535747462937252E-4</v>
      </c>
    </row>
    <row r="239" spans="1:12" s="3" customFormat="1" ht="30">
      <c r="A239" s="28" t="s">
        <v>644</v>
      </c>
      <c r="B239" s="28" t="s">
        <v>160</v>
      </c>
      <c r="C239" s="43" t="s">
        <v>645</v>
      </c>
      <c r="D239" s="193" t="s">
        <v>646</v>
      </c>
      <c r="E239" s="194" t="s">
        <v>167</v>
      </c>
      <c r="F239" s="195">
        <v>2</v>
      </c>
      <c r="G239" s="191">
        <f>'Composições - CCU'!F2491</f>
        <v>187.25791500000003</v>
      </c>
      <c r="H239" s="192">
        <f t="shared" si="44"/>
        <v>374.51583000000005</v>
      </c>
      <c r="I239" s="192" t="s">
        <v>12</v>
      </c>
      <c r="J239" s="192">
        <f t="shared" si="46"/>
        <v>232.57433043000003</v>
      </c>
      <c r="K239" s="192">
        <f t="shared" si="47"/>
        <v>465.15</v>
      </c>
      <c r="L239" s="250">
        <f t="shared" si="45"/>
        <v>4.6833076722338948E-5</v>
      </c>
    </row>
    <row r="240" spans="1:12" s="3" customFormat="1" ht="30">
      <c r="A240" s="28" t="s">
        <v>647</v>
      </c>
      <c r="B240" s="28" t="s">
        <v>160</v>
      </c>
      <c r="C240" s="43" t="s">
        <v>648</v>
      </c>
      <c r="D240" s="193" t="s">
        <v>649</v>
      </c>
      <c r="E240" s="194" t="s">
        <v>167</v>
      </c>
      <c r="F240" s="195">
        <v>2</v>
      </c>
      <c r="G240" s="191">
        <f>'Composições - CCU'!F2515</f>
        <v>630.25259999999992</v>
      </c>
      <c r="H240" s="192">
        <f t="shared" si="44"/>
        <v>1260.5051999999998</v>
      </c>
      <c r="I240" s="192" t="s">
        <v>12</v>
      </c>
      <c r="J240" s="192">
        <f t="shared" si="46"/>
        <v>782.77372919999993</v>
      </c>
      <c r="K240" s="192">
        <f t="shared" si="47"/>
        <v>1565.55</v>
      </c>
      <c r="L240" s="250">
        <f t="shared" si="45"/>
        <v>1.5762554716254487E-4</v>
      </c>
    </row>
    <row r="241" spans="1:12" s="3" customFormat="1" ht="30">
      <c r="A241" s="28" t="s">
        <v>650</v>
      </c>
      <c r="B241" s="28" t="s">
        <v>160</v>
      </c>
      <c r="C241" s="43" t="s">
        <v>651</v>
      </c>
      <c r="D241" s="193" t="s">
        <v>652</v>
      </c>
      <c r="E241" s="194" t="s">
        <v>167</v>
      </c>
      <c r="F241" s="195">
        <v>3</v>
      </c>
      <c r="G241" s="191">
        <f>'Composições - CCU'!F2539</f>
        <v>439.51307499999996</v>
      </c>
      <c r="H241" s="192">
        <f t="shared" si="44"/>
        <v>1318.539225</v>
      </c>
      <c r="I241" s="192" t="s">
        <v>12</v>
      </c>
      <c r="J241" s="192">
        <f t="shared" si="46"/>
        <v>545.87523914999997</v>
      </c>
      <c r="K241" s="192">
        <f t="shared" si="47"/>
        <v>1637.63</v>
      </c>
      <c r="L241" s="250">
        <f t="shared" si="45"/>
        <v>1.6488283657487679E-4</v>
      </c>
    </row>
    <row r="242" spans="1:12" s="3" customFormat="1" ht="30">
      <c r="A242" s="28" t="s">
        <v>653</v>
      </c>
      <c r="B242" s="28" t="s">
        <v>160</v>
      </c>
      <c r="C242" s="43" t="s">
        <v>654</v>
      </c>
      <c r="D242" s="193" t="s">
        <v>655</v>
      </c>
      <c r="E242" s="194" t="s">
        <v>167</v>
      </c>
      <c r="F242" s="195">
        <v>2</v>
      </c>
      <c r="G242" s="191">
        <f>'Composições - CCU'!F2563</f>
        <v>269.04545999999999</v>
      </c>
      <c r="H242" s="192">
        <f t="shared" si="44"/>
        <v>538.09091999999998</v>
      </c>
      <c r="I242" s="192" t="s">
        <v>12</v>
      </c>
      <c r="J242" s="192">
        <f t="shared" si="46"/>
        <v>334.15446132</v>
      </c>
      <c r="K242" s="192">
        <f t="shared" si="47"/>
        <v>668.31</v>
      </c>
      <c r="L242" s="250">
        <f t="shared" si="45"/>
        <v>6.7288000654211206E-5</v>
      </c>
    </row>
    <row r="243" spans="1:12" s="3" customFormat="1" ht="30">
      <c r="A243" s="28" t="s">
        <v>656</v>
      </c>
      <c r="B243" s="28" t="s">
        <v>160</v>
      </c>
      <c r="C243" s="43" t="s">
        <v>657</v>
      </c>
      <c r="D243" s="193" t="s">
        <v>658</v>
      </c>
      <c r="E243" s="194" t="s">
        <v>167</v>
      </c>
      <c r="F243" s="195">
        <v>2</v>
      </c>
      <c r="G243" s="191">
        <f>'Composições - CCU'!F2587</f>
        <v>388.08597999999995</v>
      </c>
      <c r="H243" s="192">
        <f t="shared" si="44"/>
        <v>776.1719599999999</v>
      </c>
      <c r="I243" s="192" t="s">
        <v>12</v>
      </c>
      <c r="J243" s="192">
        <f t="shared" si="46"/>
        <v>482.00278715999991</v>
      </c>
      <c r="K243" s="192">
        <f t="shared" si="47"/>
        <v>964.01</v>
      </c>
      <c r="L243" s="250">
        <f t="shared" si="45"/>
        <v>9.7060204861016818E-5</v>
      </c>
    </row>
    <row r="244" spans="1:12" s="3" customFormat="1" ht="30">
      <c r="A244" s="28" t="s">
        <v>659</v>
      </c>
      <c r="B244" s="28" t="s">
        <v>160</v>
      </c>
      <c r="C244" s="43" t="s">
        <v>660</v>
      </c>
      <c r="D244" s="193" t="s">
        <v>661</v>
      </c>
      <c r="E244" s="194" t="s">
        <v>167</v>
      </c>
      <c r="F244" s="195">
        <v>2</v>
      </c>
      <c r="G244" s="191">
        <f>'Composições - CCU'!F2611</f>
        <v>334.04292999999996</v>
      </c>
      <c r="H244" s="192">
        <f t="shared" si="44"/>
        <v>668.08585999999991</v>
      </c>
      <c r="I244" s="192" t="s">
        <v>12</v>
      </c>
      <c r="J244" s="192">
        <f t="shared" si="46"/>
        <v>414.88131905999995</v>
      </c>
      <c r="K244" s="192">
        <f t="shared" si="47"/>
        <v>829.76</v>
      </c>
      <c r="L244" s="250">
        <f t="shared" si="45"/>
        <v>8.3543402646733239E-5</v>
      </c>
    </row>
    <row r="245" spans="1:12" s="3" customFormat="1" ht="30">
      <c r="A245" s="28" t="s">
        <v>662</v>
      </c>
      <c r="B245" s="28" t="s">
        <v>160</v>
      </c>
      <c r="C245" s="43" t="s">
        <v>663</v>
      </c>
      <c r="D245" s="193" t="s">
        <v>664</v>
      </c>
      <c r="E245" s="194" t="s">
        <v>167</v>
      </c>
      <c r="F245" s="195">
        <v>2</v>
      </c>
      <c r="G245" s="191">
        <f>'Composições - CCU'!F2635</f>
        <v>216.75546</v>
      </c>
      <c r="H245" s="192">
        <f t="shared" si="44"/>
        <v>433.51092</v>
      </c>
      <c r="I245" s="192" t="s">
        <v>12</v>
      </c>
      <c r="J245" s="192">
        <f t="shared" si="46"/>
        <v>269.21028131999998</v>
      </c>
      <c r="K245" s="192">
        <f t="shared" si="47"/>
        <v>538.41999999999996</v>
      </c>
      <c r="L245" s="250">
        <f t="shared" si="45"/>
        <v>5.4210179874968799E-5</v>
      </c>
    </row>
    <row r="246" spans="1:12" s="3" customFormat="1" ht="30">
      <c r="A246" s="28" t="s">
        <v>665</v>
      </c>
      <c r="B246" s="28" t="s">
        <v>160</v>
      </c>
      <c r="C246" s="43" t="s">
        <v>666</v>
      </c>
      <c r="D246" s="193" t="s">
        <v>667</v>
      </c>
      <c r="E246" s="194" t="s">
        <v>167</v>
      </c>
      <c r="F246" s="195">
        <v>2</v>
      </c>
      <c r="G246" s="191">
        <f>'Composições - CCU'!F2659</f>
        <v>223.010515</v>
      </c>
      <c r="H246" s="192">
        <f t="shared" si="44"/>
        <v>446.02103</v>
      </c>
      <c r="I246" s="192" t="s">
        <v>12</v>
      </c>
      <c r="J246" s="192">
        <f t="shared" si="46"/>
        <v>276.97905962999999</v>
      </c>
      <c r="K246" s="192">
        <f t="shared" si="47"/>
        <v>553.96</v>
      </c>
      <c r="L246" s="250">
        <f t="shared" si="45"/>
        <v>5.5774806365918277E-5</v>
      </c>
    </row>
    <row r="247" spans="1:12" s="3" customFormat="1" ht="30">
      <c r="A247" s="28" t="s">
        <v>668</v>
      </c>
      <c r="B247" s="28" t="s">
        <v>160</v>
      </c>
      <c r="C247" s="43" t="s">
        <v>669</v>
      </c>
      <c r="D247" s="193" t="s">
        <v>670</v>
      </c>
      <c r="E247" s="194" t="s">
        <v>167</v>
      </c>
      <c r="F247" s="195">
        <v>1</v>
      </c>
      <c r="G247" s="191">
        <f>'Composições - CCU'!F2683</f>
        <v>1518.401515</v>
      </c>
      <c r="H247" s="192">
        <f t="shared" si="44"/>
        <v>1518.401515</v>
      </c>
      <c r="I247" s="192" t="s">
        <v>12</v>
      </c>
      <c r="J247" s="192">
        <f t="shared" si="46"/>
        <v>1885.85468163</v>
      </c>
      <c r="K247" s="192">
        <f t="shared" si="47"/>
        <v>1885.85</v>
      </c>
      <c r="L247" s="250">
        <f t="shared" si="45"/>
        <v>1.8987457322761024E-4</v>
      </c>
    </row>
    <row r="248" spans="1:12" s="3" customFormat="1" ht="30">
      <c r="A248" s="28" t="s">
        <v>671</v>
      </c>
      <c r="B248" s="28" t="s">
        <v>160</v>
      </c>
      <c r="C248" s="43" t="s">
        <v>672</v>
      </c>
      <c r="D248" s="193" t="s">
        <v>673</v>
      </c>
      <c r="E248" s="194" t="s">
        <v>167</v>
      </c>
      <c r="F248" s="195">
        <v>2</v>
      </c>
      <c r="G248" s="191">
        <f>'Composições - CCU'!F2707</f>
        <v>1517.3570950000001</v>
      </c>
      <c r="H248" s="192">
        <f t="shared" si="44"/>
        <v>3034.7141900000001</v>
      </c>
      <c r="I248" s="192" t="s">
        <v>12</v>
      </c>
      <c r="J248" s="192">
        <f t="shared" si="46"/>
        <v>1884.55751199</v>
      </c>
      <c r="K248" s="192">
        <f t="shared" si="47"/>
        <v>3769.12</v>
      </c>
      <c r="L248" s="250">
        <f t="shared" si="45"/>
        <v>3.7948938221154935E-4</v>
      </c>
    </row>
    <row r="249" spans="1:12" s="3" customFormat="1" ht="30">
      <c r="A249" s="28" t="s">
        <v>674</v>
      </c>
      <c r="B249" s="28" t="s">
        <v>160</v>
      </c>
      <c r="C249" s="43" t="s">
        <v>675</v>
      </c>
      <c r="D249" s="193" t="s">
        <v>676</v>
      </c>
      <c r="E249" s="194" t="s">
        <v>167</v>
      </c>
      <c r="F249" s="195">
        <v>1</v>
      </c>
      <c r="G249" s="191">
        <f>'Composições - CCU'!F2731</f>
        <v>1516.3126750000001</v>
      </c>
      <c r="H249" s="192">
        <f t="shared" si="44"/>
        <v>1516.3126750000001</v>
      </c>
      <c r="I249" s="192" t="s">
        <v>12</v>
      </c>
      <c r="J249" s="192">
        <f t="shared" si="46"/>
        <v>1883.2603423500002</v>
      </c>
      <c r="K249" s="192">
        <f t="shared" si="47"/>
        <v>1883.26</v>
      </c>
      <c r="L249" s="250">
        <f t="shared" si="45"/>
        <v>1.8961380214578533E-4</v>
      </c>
    </row>
    <row r="250" spans="1:12" s="3" customFormat="1" ht="30">
      <c r="A250" s="28" t="s">
        <v>677</v>
      </c>
      <c r="B250" s="28" t="s">
        <v>160</v>
      </c>
      <c r="C250" s="43" t="s">
        <v>678</v>
      </c>
      <c r="D250" s="193" t="s">
        <v>679</v>
      </c>
      <c r="E250" s="194" t="s">
        <v>167</v>
      </c>
      <c r="F250" s="195">
        <v>2</v>
      </c>
      <c r="G250" s="191">
        <f>'Composições - CCU'!F2755</f>
        <v>1435.0604999999998</v>
      </c>
      <c r="H250" s="192">
        <f t="shared" si="44"/>
        <v>2870.1209999999996</v>
      </c>
      <c r="I250" s="192" t="s">
        <v>12</v>
      </c>
      <c r="J250" s="192">
        <f t="shared" si="46"/>
        <v>1782.3451409999998</v>
      </c>
      <c r="K250" s="192">
        <f t="shared" si="47"/>
        <v>3564.69</v>
      </c>
      <c r="L250" s="250">
        <f t="shared" si="45"/>
        <v>3.5890658983414906E-4</v>
      </c>
    </row>
    <row r="251" spans="1:12" s="3" customFormat="1" ht="30">
      <c r="A251" s="28" t="s">
        <v>680</v>
      </c>
      <c r="B251" s="28" t="s">
        <v>160</v>
      </c>
      <c r="C251" s="43" t="s">
        <v>681</v>
      </c>
      <c r="D251" s="193" t="s">
        <v>682</v>
      </c>
      <c r="E251" s="194" t="s">
        <v>167</v>
      </c>
      <c r="F251" s="195">
        <v>4</v>
      </c>
      <c r="G251" s="191">
        <f>'Composições - CCU'!F2779</f>
        <v>1513.1794150000001</v>
      </c>
      <c r="H251" s="192">
        <f t="shared" si="44"/>
        <v>6052.7176600000003</v>
      </c>
      <c r="I251" s="192" t="s">
        <v>12</v>
      </c>
      <c r="J251" s="192">
        <f t="shared" si="46"/>
        <v>1879.36883343</v>
      </c>
      <c r="K251" s="192">
        <f t="shared" si="47"/>
        <v>7517.48</v>
      </c>
      <c r="L251" s="250">
        <f t="shared" si="45"/>
        <v>7.5688856841588429E-4</v>
      </c>
    </row>
    <row r="252" spans="1:12" s="3" customFormat="1" ht="30">
      <c r="A252" s="28" t="s">
        <v>683</v>
      </c>
      <c r="B252" s="28" t="s">
        <v>160</v>
      </c>
      <c r="C252" s="43" t="s">
        <v>684</v>
      </c>
      <c r="D252" s="193" t="s">
        <v>685</v>
      </c>
      <c r="E252" s="194" t="s">
        <v>167</v>
      </c>
      <c r="F252" s="195">
        <v>2</v>
      </c>
      <c r="G252" s="191">
        <f>'Composições - CCU'!F2803</f>
        <v>361.17525000000001</v>
      </c>
      <c r="H252" s="192">
        <f t="shared" si="44"/>
        <v>722.35050000000001</v>
      </c>
      <c r="I252" s="192" t="s">
        <v>12</v>
      </c>
      <c r="J252" s="192">
        <f t="shared" si="46"/>
        <v>448.57966049999999</v>
      </c>
      <c r="K252" s="192">
        <f t="shared" si="47"/>
        <v>897.16</v>
      </c>
      <c r="L252" s="250">
        <f t="shared" si="45"/>
        <v>9.032949180310354E-5</v>
      </c>
    </row>
    <row r="253" spans="1:12" s="3" customFormat="1" ht="30">
      <c r="A253" s="28" t="s">
        <v>686</v>
      </c>
      <c r="B253" s="28" t="s">
        <v>2</v>
      </c>
      <c r="C253" s="43">
        <v>97460</v>
      </c>
      <c r="D253" s="193" t="s">
        <v>687</v>
      </c>
      <c r="E253" s="194" t="s">
        <v>167</v>
      </c>
      <c r="F253" s="195">
        <v>2</v>
      </c>
      <c r="G253" s="191">
        <v>783.74</v>
      </c>
      <c r="H253" s="192">
        <f t="shared" si="44"/>
        <v>1567.48</v>
      </c>
      <c r="I253" s="192" t="s">
        <v>12</v>
      </c>
      <c r="J253" s="192">
        <f t="shared" si="46"/>
        <v>973.40508</v>
      </c>
      <c r="K253" s="192">
        <f t="shared" si="47"/>
        <v>1946.81</v>
      </c>
      <c r="L253" s="250">
        <f t="shared" si="45"/>
        <v>1.9601225861295645E-4</v>
      </c>
    </row>
    <row r="254" spans="1:12" s="3" customFormat="1" ht="30">
      <c r="A254" s="28" t="s">
        <v>688</v>
      </c>
      <c r="B254" s="28" t="s">
        <v>160</v>
      </c>
      <c r="C254" s="43" t="s">
        <v>689</v>
      </c>
      <c r="D254" s="193" t="s">
        <v>690</v>
      </c>
      <c r="E254" s="194" t="s">
        <v>167</v>
      </c>
      <c r="F254" s="195">
        <v>2</v>
      </c>
      <c r="G254" s="191">
        <f>'Composições - CCU'!F2827</f>
        <v>159.516795</v>
      </c>
      <c r="H254" s="192">
        <f t="shared" si="44"/>
        <v>319.03359</v>
      </c>
      <c r="I254" s="192" t="s">
        <v>12</v>
      </c>
      <c r="J254" s="192">
        <f t="shared" ref="J254:J271" si="48">IF(E254="","",IF(I254=$G$4,(G254*(1+$H$4)),(G254*(1+$H$5))))</f>
        <v>198.11985938999999</v>
      </c>
      <c r="K254" s="192">
        <f t="shared" ref="K254:K271" si="49">ROUND((IF(C254="","",F254*J254)),2)</f>
        <v>396.24</v>
      </c>
      <c r="L254" s="250">
        <f t="shared" si="45"/>
        <v>3.9894955004750263E-5</v>
      </c>
    </row>
    <row r="255" spans="1:12" s="3" customFormat="1" ht="30">
      <c r="A255" s="28" t="s">
        <v>691</v>
      </c>
      <c r="B255" s="28" t="s">
        <v>160</v>
      </c>
      <c r="C255" s="43" t="s">
        <v>692</v>
      </c>
      <c r="D255" s="193" t="s">
        <v>693</v>
      </c>
      <c r="E255" s="194" t="s">
        <v>167</v>
      </c>
      <c r="F255" s="195">
        <v>2</v>
      </c>
      <c r="G255" s="191">
        <f>'Composições - CCU'!F2851</f>
        <v>268.51369999999997</v>
      </c>
      <c r="H255" s="192">
        <f t="shared" si="44"/>
        <v>537.02739999999994</v>
      </c>
      <c r="I255" s="192" t="s">
        <v>12</v>
      </c>
      <c r="J255" s="192">
        <f t="shared" si="48"/>
        <v>333.49401539999997</v>
      </c>
      <c r="K255" s="192">
        <f t="shared" si="49"/>
        <v>666.99</v>
      </c>
      <c r="L255" s="250">
        <f t="shared" si="45"/>
        <v>6.7155098017914345E-5</v>
      </c>
    </row>
    <row r="256" spans="1:12" s="3" customFormat="1" ht="30">
      <c r="A256" s="28" t="s">
        <v>694</v>
      </c>
      <c r="B256" s="28" t="s">
        <v>160</v>
      </c>
      <c r="C256" s="43" t="s">
        <v>695</v>
      </c>
      <c r="D256" s="193" t="s">
        <v>696</v>
      </c>
      <c r="E256" s="194" t="s">
        <v>167</v>
      </c>
      <c r="F256" s="195">
        <v>18</v>
      </c>
      <c r="G256" s="191">
        <f>'Composições - CCU'!F2875</f>
        <v>163.52496000000002</v>
      </c>
      <c r="H256" s="192">
        <f t="shared" si="44"/>
        <v>2943.4492800000003</v>
      </c>
      <c r="I256" s="192" t="s">
        <v>12</v>
      </c>
      <c r="J256" s="192">
        <f t="shared" si="48"/>
        <v>203.09800032000001</v>
      </c>
      <c r="K256" s="192">
        <f t="shared" si="49"/>
        <v>3655.76</v>
      </c>
      <c r="L256" s="250">
        <f t="shared" si="45"/>
        <v>3.6807586490047908E-4</v>
      </c>
    </row>
    <row r="257" spans="1:12" s="3" customFormat="1" ht="30">
      <c r="A257" s="28" t="s">
        <v>697</v>
      </c>
      <c r="B257" s="28" t="s">
        <v>160</v>
      </c>
      <c r="C257" s="43" t="s">
        <v>698</v>
      </c>
      <c r="D257" s="193" t="s">
        <v>699</v>
      </c>
      <c r="E257" s="194" t="s">
        <v>167</v>
      </c>
      <c r="F257" s="195">
        <v>4</v>
      </c>
      <c r="G257" s="191">
        <f>'Composições - CCU'!F2899</f>
        <v>102.88621999999999</v>
      </c>
      <c r="H257" s="192">
        <f t="shared" si="44"/>
        <v>411.54487999999998</v>
      </c>
      <c r="I257" s="192" t="s">
        <v>12</v>
      </c>
      <c r="J257" s="192">
        <f t="shared" si="48"/>
        <v>127.78468523999999</v>
      </c>
      <c r="K257" s="192">
        <f t="shared" si="49"/>
        <v>511.14</v>
      </c>
      <c r="L257" s="250">
        <f t="shared" si="45"/>
        <v>5.1463525391500229E-5</v>
      </c>
    </row>
    <row r="258" spans="1:12" s="3" customFormat="1" ht="30">
      <c r="A258" s="28" t="s">
        <v>700</v>
      </c>
      <c r="B258" s="28" t="s">
        <v>160</v>
      </c>
      <c r="C258" s="43" t="s">
        <v>701</v>
      </c>
      <c r="D258" s="193" t="s">
        <v>702</v>
      </c>
      <c r="E258" s="194" t="s">
        <v>167</v>
      </c>
      <c r="F258" s="195">
        <v>10</v>
      </c>
      <c r="G258" s="191">
        <f>'Composições - CCU'!F2923</f>
        <v>84.012723999999992</v>
      </c>
      <c r="H258" s="192">
        <f t="shared" si="44"/>
        <v>840.12723999999992</v>
      </c>
      <c r="I258" s="192" t="s">
        <v>12</v>
      </c>
      <c r="J258" s="192">
        <f t="shared" si="48"/>
        <v>104.34380320799998</v>
      </c>
      <c r="K258" s="192">
        <f t="shared" si="49"/>
        <v>1043.44</v>
      </c>
      <c r="L258" s="250">
        <f t="shared" si="45"/>
        <v>1.0505752031636539E-4</v>
      </c>
    </row>
    <row r="259" spans="1:12" s="3" customFormat="1" ht="30">
      <c r="A259" s="28" t="s">
        <v>703</v>
      </c>
      <c r="B259" s="28" t="s">
        <v>160</v>
      </c>
      <c r="C259" s="43" t="s">
        <v>704</v>
      </c>
      <c r="D259" s="193" t="s">
        <v>705</v>
      </c>
      <c r="E259" s="194" t="s">
        <v>167</v>
      </c>
      <c r="F259" s="195">
        <v>1</v>
      </c>
      <c r="G259" s="191">
        <f>'Composições - CCU'!F2947</f>
        <v>164.21496000000002</v>
      </c>
      <c r="H259" s="192">
        <f t="shared" si="44"/>
        <v>164.21496000000002</v>
      </c>
      <c r="I259" s="192" t="s">
        <v>12</v>
      </c>
      <c r="J259" s="192">
        <f t="shared" si="48"/>
        <v>203.95498032000003</v>
      </c>
      <c r="K259" s="192">
        <f t="shared" si="49"/>
        <v>203.95</v>
      </c>
      <c r="L259" s="250">
        <f t="shared" si="45"/>
        <v>2.0534464146019623E-5</v>
      </c>
    </row>
    <row r="260" spans="1:12" s="3" customFormat="1" ht="30">
      <c r="A260" s="28" t="s">
        <v>706</v>
      </c>
      <c r="B260" s="28" t="s">
        <v>2</v>
      </c>
      <c r="C260" s="43">
        <v>92928</v>
      </c>
      <c r="D260" s="193" t="s">
        <v>707</v>
      </c>
      <c r="E260" s="194" t="s">
        <v>167</v>
      </c>
      <c r="F260" s="195">
        <v>2</v>
      </c>
      <c r="G260" s="191">
        <v>52.64</v>
      </c>
      <c r="H260" s="192">
        <f t="shared" si="44"/>
        <v>105.28</v>
      </c>
      <c r="I260" s="192" t="s">
        <v>12</v>
      </c>
      <c r="J260" s="192">
        <f t="shared" si="48"/>
        <v>65.378879999999995</v>
      </c>
      <c r="K260" s="192">
        <f t="shared" si="49"/>
        <v>130.76</v>
      </c>
      <c r="L260" s="250">
        <f t="shared" si="45"/>
        <v>1.3165415698619887E-5</v>
      </c>
    </row>
    <row r="261" spans="1:12" s="3" customFormat="1" ht="30">
      <c r="A261" s="28" t="s">
        <v>708</v>
      </c>
      <c r="B261" s="28" t="s">
        <v>2</v>
      </c>
      <c r="C261" s="43">
        <v>92889</v>
      </c>
      <c r="D261" s="193" t="s">
        <v>709</v>
      </c>
      <c r="E261" s="194" t="s">
        <v>167</v>
      </c>
      <c r="F261" s="195">
        <v>4</v>
      </c>
      <c r="G261" s="191">
        <v>133.21</v>
      </c>
      <c r="H261" s="192">
        <f t="shared" si="44"/>
        <v>532.84</v>
      </c>
      <c r="I261" s="192" t="s">
        <v>12</v>
      </c>
      <c r="J261" s="192">
        <f t="shared" si="48"/>
        <v>165.44682</v>
      </c>
      <c r="K261" s="192">
        <f t="shared" si="49"/>
        <v>661.79</v>
      </c>
      <c r="L261" s="250">
        <f t="shared" si="45"/>
        <v>6.6631542177956983E-5</v>
      </c>
    </row>
    <row r="262" spans="1:12" s="3" customFormat="1" ht="30">
      <c r="A262" s="28" t="s">
        <v>710</v>
      </c>
      <c r="B262" s="28" t="s">
        <v>2</v>
      </c>
      <c r="C262" s="43">
        <v>92893</v>
      </c>
      <c r="D262" s="193" t="s">
        <v>711</v>
      </c>
      <c r="E262" s="194" t="s">
        <v>167</v>
      </c>
      <c r="F262" s="195">
        <v>4</v>
      </c>
      <c r="G262" s="191">
        <v>81.489999999999995</v>
      </c>
      <c r="H262" s="192">
        <f t="shared" si="44"/>
        <v>325.95999999999998</v>
      </c>
      <c r="I262" s="192" t="s">
        <v>12</v>
      </c>
      <c r="J262" s="192">
        <f t="shared" si="48"/>
        <v>101.21057999999999</v>
      </c>
      <c r="K262" s="192">
        <f t="shared" si="49"/>
        <v>404.84</v>
      </c>
      <c r="L262" s="250">
        <f t="shared" si="45"/>
        <v>4.0760835816987422E-5</v>
      </c>
    </row>
    <row r="263" spans="1:12" s="3" customFormat="1">
      <c r="A263" s="134" t="s">
        <v>712</v>
      </c>
      <c r="B263" s="206" t="s">
        <v>34</v>
      </c>
      <c r="C263" s="206" t="s">
        <v>34</v>
      </c>
      <c r="D263" s="459" t="s">
        <v>713</v>
      </c>
      <c r="E263" s="455" t="s">
        <v>34</v>
      </c>
      <c r="F263" s="460"/>
      <c r="G263" s="455" t="s">
        <v>34</v>
      </c>
      <c r="H263" s="456"/>
      <c r="I263" s="456"/>
      <c r="J263" s="456"/>
      <c r="K263" s="461"/>
      <c r="L263" s="462"/>
    </row>
    <row r="264" spans="1:12" s="3" customFormat="1" ht="60">
      <c r="A264" s="28" t="s">
        <v>714</v>
      </c>
      <c r="B264" s="28" t="s">
        <v>160</v>
      </c>
      <c r="C264" s="43" t="s">
        <v>715</v>
      </c>
      <c r="D264" s="193" t="s">
        <v>716</v>
      </c>
      <c r="E264" s="194" t="s">
        <v>163</v>
      </c>
      <c r="F264" s="195">
        <v>1</v>
      </c>
      <c r="G264" s="191">
        <v>5126.0469800000001</v>
      </c>
      <c r="H264" s="192">
        <f t="shared" ref="H264:H271" si="50">IF(B264="","",F264*G264)</f>
        <v>5126.0469800000001</v>
      </c>
      <c r="I264" s="192" t="s">
        <v>12</v>
      </c>
      <c r="J264" s="192">
        <f>IF(E264="","",IF(I264=$G$4,(G264*(1+$H$4)),(G264*(1+$H$5))))</f>
        <v>6366.5503491600002</v>
      </c>
      <c r="K264" s="192">
        <f>ROUND((IF(C264="","",F264*J264)),2)</f>
        <v>6366.55</v>
      </c>
      <c r="L264" s="250">
        <f t="shared" ref="L264:L271" si="51">IF(C264="","",K264/$K$734)</f>
        <v>6.4100854478470832E-4</v>
      </c>
    </row>
    <row r="265" spans="1:12" s="3" customFormat="1" ht="60">
      <c r="A265" s="28" t="s">
        <v>717</v>
      </c>
      <c r="B265" s="28" t="s">
        <v>160</v>
      </c>
      <c r="C265" s="43" t="s">
        <v>718</v>
      </c>
      <c r="D265" s="193" t="s">
        <v>719</v>
      </c>
      <c r="E265" s="194" t="s">
        <v>163</v>
      </c>
      <c r="F265" s="195">
        <v>1</v>
      </c>
      <c r="G265" s="191">
        <v>3614.5769799999998</v>
      </c>
      <c r="H265" s="192">
        <f t="shared" si="50"/>
        <v>3614.5769799999998</v>
      </c>
      <c r="I265" s="192" t="s">
        <v>12</v>
      </c>
      <c r="J265" s="192">
        <f t="shared" si="48"/>
        <v>4489.3046091599999</v>
      </c>
      <c r="K265" s="192">
        <f t="shared" si="49"/>
        <v>4489.3</v>
      </c>
      <c r="L265" s="250">
        <f t="shared" si="51"/>
        <v>4.5199985236933518E-4</v>
      </c>
    </row>
    <row r="266" spans="1:12" s="3" customFormat="1" ht="60">
      <c r="A266" s="28" t="s">
        <v>720</v>
      </c>
      <c r="B266" s="28" t="s">
        <v>160</v>
      </c>
      <c r="C266" s="43" t="s">
        <v>721</v>
      </c>
      <c r="D266" s="193" t="s">
        <v>722</v>
      </c>
      <c r="E266" s="194" t="s">
        <v>163</v>
      </c>
      <c r="F266" s="195">
        <v>6</v>
      </c>
      <c r="G266" s="191">
        <f>'Composições - CCU'!F3021</f>
        <v>3616.5369799999999</v>
      </c>
      <c r="H266" s="192">
        <f t="shared" si="50"/>
        <v>21699.221879999997</v>
      </c>
      <c r="I266" s="192" t="s">
        <v>12</v>
      </c>
      <c r="J266" s="192">
        <f t="shared" si="48"/>
        <v>4491.7389291600002</v>
      </c>
      <c r="K266" s="192">
        <f t="shared" si="49"/>
        <v>26950.43</v>
      </c>
      <c r="L266" s="250">
        <f t="shared" si="51"/>
        <v>2.7134721184349678E-3</v>
      </c>
    </row>
    <row r="267" spans="1:12" s="3" customFormat="1" ht="30">
      <c r="A267" s="28" t="s">
        <v>723</v>
      </c>
      <c r="B267" s="28" t="s">
        <v>160</v>
      </c>
      <c r="C267" s="43" t="s">
        <v>724</v>
      </c>
      <c r="D267" s="193" t="s">
        <v>725</v>
      </c>
      <c r="E267" s="194" t="s">
        <v>167</v>
      </c>
      <c r="F267" s="195">
        <v>2</v>
      </c>
      <c r="G267" s="191">
        <f>'Composições - CCU'!F3046</f>
        <v>1393.380324</v>
      </c>
      <c r="H267" s="192">
        <f t="shared" si="50"/>
        <v>2786.7606479999999</v>
      </c>
      <c r="I267" s="192" t="s">
        <v>12</v>
      </c>
      <c r="J267" s="192">
        <f t="shared" si="48"/>
        <v>1730.578362408</v>
      </c>
      <c r="K267" s="192">
        <f t="shared" si="49"/>
        <v>3461.16</v>
      </c>
      <c r="L267" s="250">
        <f t="shared" si="51"/>
        <v>3.4848279442822893E-4</v>
      </c>
    </row>
    <row r="268" spans="1:12" s="3" customFormat="1" ht="30">
      <c r="A268" s="28" t="s">
        <v>726</v>
      </c>
      <c r="B268" s="28" t="s">
        <v>160</v>
      </c>
      <c r="C268" s="43" t="s">
        <v>727</v>
      </c>
      <c r="D268" s="193" t="s">
        <v>728</v>
      </c>
      <c r="E268" s="194" t="s">
        <v>167</v>
      </c>
      <c r="F268" s="195">
        <v>2</v>
      </c>
      <c r="G268" s="191">
        <v>1066.3897024999999</v>
      </c>
      <c r="H268" s="192">
        <f t="shared" si="50"/>
        <v>2132.7794049999998</v>
      </c>
      <c r="I268" s="192" t="s">
        <v>12</v>
      </c>
      <c r="J268" s="192">
        <f t="shared" si="48"/>
        <v>1324.4560105049998</v>
      </c>
      <c r="K268" s="192">
        <f t="shared" si="49"/>
        <v>2648.91</v>
      </c>
      <c r="L268" s="250">
        <f t="shared" si="51"/>
        <v>2.6670236538873669E-4</v>
      </c>
    </row>
    <row r="269" spans="1:12" s="3" customFormat="1" ht="30">
      <c r="A269" s="28" t="s">
        <v>729</v>
      </c>
      <c r="B269" s="28" t="s">
        <v>160</v>
      </c>
      <c r="C269" s="43" t="s">
        <v>730</v>
      </c>
      <c r="D269" s="193" t="s">
        <v>731</v>
      </c>
      <c r="E269" s="194" t="s">
        <v>167</v>
      </c>
      <c r="F269" s="195">
        <v>3</v>
      </c>
      <c r="G269" s="191">
        <f>'Composições - CCU'!F3092</f>
        <v>5145.7197999999999</v>
      </c>
      <c r="H269" s="192">
        <f t="shared" si="50"/>
        <v>15437.1594</v>
      </c>
      <c r="I269" s="192" t="s">
        <v>12</v>
      </c>
      <c r="J269" s="192">
        <f t="shared" si="48"/>
        <v>6390.9839916000001</v>
      </c>
      <c r="K269" s="192">
        <f t="shared" si="49"/>
        <v>19172.95</v>
      </c>
      <c r="L269" s="250">
        <f t="shared" si="51"/>
        <v>1.9304057580212159E-3</v>
      </c>
    </row>
    <row r="270" spans="1:12" s="3" customFormat="1" ht="30">
      <c r="A270" s="28" t="s">
        <v>732</v>
      </c>
      <c r="B270" s="28" t="s">
        <v>160</v>
      </c>
      <c r="C270" s="43" t="s">
        <v>733</v>
      </c>
      <c r="D270" s="193" t="s">
        <v>734</v>
      </c>
      <c r="E270" s="194" t="s">
        <v>167</v>
      </c>
      <c r="F270" s="195">
        <v>1</v>
      </c>
      <c r="G270" s="191">
        <f>'Composições - CCU'!F3115</f>
        <v>1122.45056</v>
      </c>
      <c r="H270" s="192">
        <f t="shared" si="50"/>
        <v>1122.45056</v>
      </c>
      <c r="I270" s="192" t="s">
        <v>12</v>
      </c>
      <c r="J270" s="192">
        <f t="shared" si="48"/>
        <v>1394.08359552</v>
      </c>
      <c r="K270" s="192">
        <f t="shared" si="49"/>
        <v>1394.08</v>
      </c>
      <c r="L270" s="250">
        <f t="shared" si="51"/>
        <v>1.4036129333995116E-4</v>
      </c>
    </row>
    <row r="271" spans="1:12" s="3" customFormat="1" ht="30">
      <c r="A271" s="28" t="s">
        <v>735</v>
      </c>
      <c r="B271" s="28" t="s">
        <v>160</v>
      </c>
      <c r="C271" s="43" t="s">
        <v>736</v>
      </c>
      <c r="D271" s="193" t="s">
        <v>731</v>
      </c>
      <c r="E271" s="194" t="s">
        <v>167</v>
      </c>
      <c r="F271" s="195">
        <v>3</v>
      </c>
      <c r="G271" s="191">
        <f>'Composições - CCU'!F3138</f>
        <v>5145.7197999999999</v>
      </c>
      <c r="H271" s="192">
        <f t="shared" si="50"/>
        <v>15437.1594</v>
      </c>
      <c r="I271" s="192" t="s">
        <v>12</v>
      </c>
      <c r="J271" s="192">
        <f t="shared" si="48"/>
        <v>6390.9839916000001</v>
      </c>
      <c r="K271" s="192">
        <f t="shared" si="49"/>
        <v>19172.95</v>
      </c>
      <c r="L271" s="250">
        <f t="shared" si="51"/>
        <v>1.9304057580212159E-3</v>
      </c>
    </row>
    <row r="272" spans="1:12" s="3" customFormat="1">
      <c r="A272" s="134" t="s">
        <v>737</v>
      </c>
      <c r="B272" s="206" t="s">
        <v>34</v>
      </c>
      <c r="C272" s="206" t="s">
        <v>34</v>
      </c>
      <c r="D272" s="459" t="s">
        <v>738</v>
      </c>
      <c r="E272" s="455" t="s">
        <v>34</v>
      </c>
      <c r="F272" s="460"/>
      <c r="G272" s="455" t="s">
        <v>34</v>
      </c>
      <c r="H272" s="456"/>
      <c r="I272" s="456"/>
      <c r="J272" s="456"/>
      <c r="K272" s="461"/>
      <c r="L272" s="462"/>
    </row>
    <row r="273" spans="1:13" s="3" customFormat="1" ht="30">
      <c r="A273" s="28" t="s">
        <v>739</v>
      </c>
      <c r="B273" s="28" t="s">
        <v>160</v>
      </c>
      <c r="C273" s="43" t="s">
        <v>740</v>
      </c>
      <c r="D273" s="193" t="s">
        <v>741</v>
      </c>
      <c r="E273" s="194" t="s">
        <v>163</v>
      </c>
      <c r="F273" s="195">
        <v>1</v>
      </c>
      <c r="G273" s="191">
        <f>'Composições - CCU'!F3161</f>
        <v>557.42329999999993</v>
      </c>
      <c r="H273" s="192">
        <f>IF(B273="","",F273*G273)</f>
        <v>557.42329999999993</v>
      </c>
      <c r="I273" s="192" t="s">
        <v>12</v>
      </c>
      <c r="J273" s="192">
        <f>IF(E273="","",IF(I273=$G$4,(G273*(1+$H$4)),(G273*(1+$H$5))))</f>
        <v>692.31973859999994</v>
      </c>
      <c r="K273" s="192">
        <f>ROUND((IF(C273="","",F273*J273)),2)</f>
        <v>692.32</v>
      </c>
      <c r="L273" s="250">
        <f>IF(C273="","",K273/$K$734)</f>
        <v>6.9705419061398915E-5</v>
      </c>
    </row>
    <row r="274" spans="1:13" s="3" customFormat="1">
      <c r="A274" s="43" t="s">
        <v>151</v>
      </c>
      <c r="B274" s="457"/>
      <c r="C274" s="457"/>
      <c r="D274" s="42"/>
      <c r="E274" s="44"/>
      <c r="F274" s="45"/>
      <c r="G274" s="274"/>
      <c r="H274" s="47"/>
      <c r="I274" s="458"/>
      <c r="J274" s="47"/>
      <c r="K274" s="47"/>
      <c r="L274" s="248"/>
    </row>
    <row r="275" spans="1:13" s="3" customFormat="1">
      <c r="A275" s="32" t="s">
        <v>79</v>
      </c>
      <c r="B275" s="32" t="s">
        <v>34</v>
      </c>
      <c r="C275" s="32" t="s">
        <v>34</v>
      </c>
      <c r="D275" s="34" t="s">
        <v>48</v>
      </c>
      <c r="E275" s="33" t="s">
        <v>34</v>
      </c>
      <c r="F275" s="33"/>
      <c r="G275" s="29" t="s">
        <v>34</v>
      </c>
      <c r="H275" s="30"/>
      <c r="I275" s="30"/>
      <c r="J275" s="30"/>
      <c r="K275" s="31">
        <f>ROUND((K276+K279),2)</f>
        <v>8283.74</v>
      </c>
      <c r="L275" s="249">
        <f>L276+L279</f>
        <v>8.3403854878621531E-4</v>
      </c>
    </row>
    <row r="276" spans="1:13" s="3" customFormat="1">
      <c r="A276" s="35" t="s">
        <v>80</v>
      </c>
      <c r="B276" s="64" t="s">
        <v>34</v>
      </c>
      <c r="C276" s="64" t="s">
        <v>34</v>
      </c>
      <c r="D276" s="36" t="s">
        <v>50</v>
      </c>
      <c r="E276" s="37" t="s">
        <v>34</v>
      </c>
      <c r="F276" s="38"/>
      <c r="G276" s="37" t="s">
        <v>34</v>
      </c>
      <c r="H276" s="39"/>
      <c r="I276" s="39"/>
      <c r="J276" s="39"/>
      <c r="K276" s="40">
        <f>SUM(K277:K278)</f>
        <v>5241.83</v>
      </c>
      <c r="L276" s="247">
        <f>SUM(L277:L278)</f>
        <v>5.2776744395454799E-4</v>
      </c>
    </row>
    <row r="277" spans="1:13" s="3" customFormat="1">
      <c r="A277" s="28" t="s">
        <v>742</v>
      </c>
      <c r="B277" s="28" t="s">
        <v>160</v>
      </c>
      <c r="C277" s="43" t="s">
        <v>239</v>
      </c>
      <c r="D277" s="193" t="s">
        <v>743</v>
      </c>
      <c r="E277" s="194" t="s">
        <v>167</v>
      </c>
      <c r="F277" s="195">
        <v>1</v>
      </c>
      <c r="G277" s="191">
        <f>'Composições - CCU'!F5510</f>
        <v>1918.3981818181819</v>
      </c>
      <c r="H277" s="192">
        <f>IF(B277="","",F277*G277)</f>
        <v>1918.3981818181819</v>
      </c>
      <c r="I277" s="192" t="s">
        <v>12</v>
      </c>
      <c r="J277" s="192">
        <f>IF(E277="","",IF(I277=$G$4,(G277*(1+$H$4)),(G277*(1+$H$5))))</f>
        <v>2382.6505418181819</v>
      </c>
      <c r="K277" s="192">
        <f>ROUND((IF(C277="","",F277*J277)),2)</f>
        <v>2382.65</v>
      </c>
      <c r="L277" s="250">
        <f>IF(C277="","",K277/$K$734)</f>
        <v>2.3989429270661271E-4</v>
      </c>
    </row>
    <row r="278" spans="1:13" s="3" customFormat="1">
      <c r="A278" s="28" t="s">
        <v>744</v>
      </c>
      <c r="B278" s="28" t="s">
        <v>160</v>
      </c>
      <c r="C278" s="43" t="s">
        <v>745</v>
      </c>
      <c r="D278" s="193" t="s">
        <v>746</v>
      </c>
      <c r="E278" s="194" t="s">
        <v>167</v>
      </c>
      <c r="F278" s="195">
        <v>1</v>
      </c>
      <c r="G278" s="191">
        <f>'Composições - CCU'!F5534</f>
        <v>2302.0778181818182</v>
      </c>
      <c r="H278" s="192">
        <f>IF(B278="","",F278*G278)</f>
        <v>2302.0778181818182</v>
      </c>
      <c r="I278" s="192" t="s">
        <v>12</v>
      </c>
      <c r="J278" s="192">
        <f>IF(E278="","",IF(I278=$G$4,(G278*(1+$H$4)),(G278*(1+$H$5))))</f>
        <v>2859.1806501818182</v>
      </c>
      <c r="K278" s="192">
        <f>ROUND((IF(C278="","",F278*J278)),2)</f>
        <v>2859.18</v>
      </c>
      <c r="L278" s="250">
        <f>IF(C278="","",K278/$K$734)</f>
        <v>2.8787315124793525E-4</v>
      </c>
    </row>
    <row r="279" spans="1:13" s="3" customFormat="1">
      <c r="A279" s="35" t="s">
        <v>81</v>
      </c>
      <c r="B279" s="64" t="s">
        <v>34</v>
      </c>
      <c r="C279" s="64" t="s">
        <v>34</v>
      </c>
      <c r="D279" s="36" t="s">
        <v>82</v>
      </c>
      <c r="E279" s="37" t="s">
        <v>34</v>
      </c>
      <c r="F279" s="38"/>
      <c r="G279" s="37" t="s">
        <v>34</v>
      </c>
      <c r="H279" s="39"/>
      <c r="I279" s="39"/>
      <c r="J279" s="39"/>
      <c r="K279" s="40">
        <f>SUM(K280:K280)</f>
        <v>3041.91</v>
      </c>
      <c r="L279" s="247">
        <f>SUM(L280:L280)</f>
        <v>3.0627110483166738E-4</v>
      </c>
    </row>
    <row r="280" spans="1:13" s="3" customFormat="1">
      <c r="A280" s="28" t="s">
        <v>747</v>
      </c>
      <c r="B280" s="28" t="s">
        <v>160</v>
      </c>
      <c r="C280" s="43" t="s">
        <v>748</v>
      </c>
      <c r="D280" s="193" t="s">
        <v>749</v>
      </c>
      <c r="E280" s="194" t="s">
        <v>150</v>
      </c>
      <c r="F280" s="195">
        <v>400</v>
      </c>
      <c r="G280" s="191">
        <f>'Composições - CCU'!F5558</f>
        <v>6.1230000000000002</v>
      </c>
      <c r="H280" s="192">
        <f>IF(B280="","",F280*G280)</f>
        <v>2449.2000000000003</v>
      </c>
      <c r="I280" s="192" t="s">
        <v>12</v>
      </c>
      <c r="J280" s="192">
        <f>IF(E280="","",IF(I280=$G$4,(G280*(1+$H$4)),(G280*(1+$H$5))))</f>
        <v>7.6047660000000006</v>
      </c>
      <c r="K280" s="192">
        <f>ROUND((IF(C280="","",F280*J280)),2)</f>
        <v>3041.91</v>
      </c>
      <c r="L280" s="250">
        <f>IF(C280="","",K280/$K$734)</f>
        <v>3.0627110483166738E-4</v>
      </c>
    </row>
    <row r="281" spans="1:13" s="3" customFormat="1">
      <c r="A281" s="43" t="s">
        <v>151</v>
      </c>
      <c r="B281" s="457"/>
      <c r="C281" s="457"/>
      <c r="D281" s="42"/>
      <c r="E281" s="44"/>
      <c r="F281" s="45"/>
      <c r="G281" s="274"/>
      <c r="H281" s="47"/>
      <c r="I281" s="458"/>
      <c r="J281" s="47"/>
      <c r="K281" s="47"/>
      <c r="L281" s="248"/>
    </row>
    <row r="282" spans="1:13" s="2" customFormat="1" ht="22.5" customHeight="1">
      <c r="A282" s="426">
        <v>3</v>
      </c>
      <c r="B282" s="427"/>
      <c r="C282" s="427"/>
      <c r="D282" s="426" t="s">
        <v>83</v>
      </c>
      <c r="E282" s="428"/>
      <c r="F282" s="429"/>
      <c r="G282" s="430"/>
      <c r="H282" s="430"/>
      <c r="I282" s="431"/>
      <c r="J282" s="430"/>
      <c r="K282" s="432">
        <f>K283+K293+K311+K328+K412+K526</f>
        <v>3684166.06</v>
      </c>
      <c r="L282" s="433">
        <f>L283+L293+L311+L328+L412+L526</f>
        <v>0.3709358954010904</v>
      </c>
      <c r="M282" s="579"/>
    </row>
    <row r="283" spans="1:13" s="3" customFormat="1">
      <c r="A283" s="32" t="s">
        <v>84</v>
      </c>
      <c r="B283" s="32" t="s">
        <v>34</v>
      </c>
      <c r="C283" s="32" t="s">
        <v>34</v>
      </c>
      <c r="D283" s="34" t="s">
        <v>85</v>
      </c>
      <c r="E283" s="33" t="s">
        <v>34</v>
      </c>
      <c r="F283" s="33"/>
      <c r="G283" s="29"/>
      <c r="H283" s="30"/>
      <c r="I283" s="30"/>
      <c r="J283" s="30"/>
      <c r="K283" s="31">
        <f>ROUND((K284+K290),2)</f>
        <v>54228.39</v>
      </c>
      <c r="L283" s="249">
        <f>L284+L290</f>
        <v>5.4599212069201724E-3</v>
      </c>
    </row>
    <row r="284" spans="1:13" s="3" customFormat="1">
      <c r="A284" s="35" t="s">
        <v>86</v>
      </c>
      <c r="B284" s="64" t="s">
        <v>34</v>
      </c>
      <c r="C284" s="64" t="s">
        <v>34</v>
      </c>
      <c r="D284" s="36" t="s">
        <v>55</v>
      </c>
      <c r="E284" s="37" t="s">
        <v>34</v>
      </c>
      <c r="F284" s="38"/>
      <c r="G284" s="37"/>
      <c r="H284" s="39"/>
      <c r="I284" s="39"/>
      <c r="J284" s="39"/>
      <c r="K284" s="40">
        <f>SUM(K285:K289)</f>
        <v>34964.97</v>
      </c>
      <c r="L284" s="247">
        <f>SUM(L285:L289)</f>
        <v>3.5204065841218527E-3</v>
      </c>
    </row>
    <row r="285" spans="1:13" s="3" customFormat="1">
      <c r="A285" s="28" t="s">
        <v>750</v>
      </c>
      <c r="B285" s="28" t="s">
        <v>3</v>
      </c>
      <c r="C285" s="43" t="s">
        <v>751</v>
      </c>
      <c r="D285" s="193" t="s">
        <v>752</v>
      </c>
      <c r="E285" s="194" t="s">
        <v>180</v>
      </c>
      <c r="F285" s="195">
        <v>2310</v>
      </c>
      <c r="G285" s="191">
        <v>0.31</v>
      </c>
      <c r="H285" s="192">
        <f t="shared" ref="H285:H291" si="52">IF(B285="","",F285*G285)</f>
        <v>716.1</v>
      </c>
      <c r="I285" s="192" t="s">
        <v>12</v>
      </c>
      <c r="J285" s="192">
        <f t="shared" ref="J285:J291" si="53">IF(E285="","",IF(I285=$G$4,(G285*(1+$H$4)),(G285*(1+$H$5))))</f>
        <v>0.38501999999999997</v>
      </c>
      <c r="K285" s="192">
        <f>ROUND((IF(C285="","",F285*J285)),2)</f>
        <v>889.4</v>
      </c>
      <c r="L285" s="250">
        <f>IF(C285="","",K285/$K$734)</f>
        <v>8.9548185395782565E-5</v>
      </c>
    </row>
    <row r="286" spans="1:13" s="3" customFormat="1">
      <c r="A286" s="28" t="s">
        <v>753</v>
      </c>
      <c r="B286" s="28" t="s">
        <v>3</v>
      </c>
      <c r="C286" s="43" t="s">
        <v>754</v>
      </c>
      <c r="D286" s="193" t="s">
        <v>755</v>
      </c>
      <c r="E286" s="194" t="s">
        <v>180</v>
      </c>
      <c r="F286" s="195">
        <v>1155</v>
      </c>
      <c r="G286" s="191">
        <v>9.23</v>
      </c>
      <c r="H286" s="192">
        <f t="shared" si="52"/>
        <v>10660.65</v>
      </c>
      <c r="I286" s="192" t="s">
        <v>12</v>
      </c>
      <c r="J286" s="192">
        <f t="shared" si="53"/>
        <v>11.463660000000001</v>
      </c>
      <c r="K286" s="192">
        <f>ROUND((IF(C286="","",F286*J286)),2)</f>
        <v>13240.53</v>
      </c>
      <c r="L286" s="250">
        <f>IF(C286="","",K286/$K$734)</f>
        <v>1.3331070780058703E-3</v>
      </c>
    </row>
    <row r="287" spans="1:13" s="3" customFormat="1">
      <c r="A287" s="28" t="s">
        <v>756</v>
      </c>
      <c r="B287" s="28" t="s">
        <v>3</v>
      </c>
      <c r="C287" s="43" t="s">
        <v>757</v>
      </c>
      <c r="D287" s="193" t="s">
        <v>758</v>
      </c>
      <c r="E287" s="194" t="s">
        <v>150</v>
      </c>
      <c r="F287" s="195">
        <v>1850</v>
      </c>
      <c r="G287" s="191">
        <v>7.02</v>
      </c>
      <c r="H287" s="192">
        <f t="shared" si="52"/>
        <v>12987</v>
      </c>
      <c r="I287" s="192" t="s">
        <v>12</v>
      </c>
      <c r="J287" s="192">
        <f t="shared" si="53"/>
        <v>8.7188400000000001</v>
      </c>
      <c r="K287" s="192">
        <f>ROUND((IF(C287="","",F287*J287)),2)</f>
        <v>16129.85</v>
      </c>
      <c r="L287" s="250">
        <f>IF(C287="","",K287/$K$734)</f>
        <v>1.6240148394492506E-3</v>
      </c>
    </row>
    <row r="288" spans="1:13" s="3" customFormat="1">
      <c r="A288" s="28" t="s">
        <v>759</v>
      </c>
      <c r="B288" s="28" t="s">
        <v>2</v>
      </c>
      <c r="C288" s="43">
        <v>97640</v>
      </c>
      <c r="D288" s="193" t="s">
        <v>760</v>
      </c>
      <c r="E288" s="194" t="s">
        <v>150</v>
      </c>
      <c r="F288" s="195">
        <v>1155</v>
      </c>
      <c r="G288" s="191">
        <v>1.84</v>
      </c>
      <c r="H288" s="192">
        <f t="shared" si="52"/>
        <v>2125.2000000000003</v>
      </c>
      <c r="I288" s="192" t="s">
        <v>12</v>
      </c>
      <c r="J288" s="192">
        <f t="shared" si="53"/>
        <v>2.2852800000000002</v>
      </c>
      <c r="K288" s="192">
        <f>ROUND((IF(C288="","",F288*J288)),2)</f>
        <v>2639.5</v>
      </c>
      <c r="L288" s="250">
        <f>IF(C288="","",K288/$K$734)</f>
        <v>2.6575493068604461E-4</v>
      </c>
    </row>
    <row r="289" spans="1:12" s="3" customFormat="1" ht="45">
      <c r="A289" s="28" t="s">
        <v>761</v>
      </c>
      <c r="B289" s="28" t="s">
        <v>3</v>
      </c>
      <c r="C289" s="43" t="s">
        <v>762</v>
      </c>
      <c r="D289" s="193" t="s">
        <v>763</v>
      </c>
      <c r="E289" s="194" t="s">
        <v>150</v>
      </c>
      <c r="F289" s="195">
        <v>1155</v>
      </c>
      <c r="G289" s="191">
        <v>1.44</v>
      </c>
      <c r="H289" s="192">
        <f t="shared" si="52"/>
        <v>1663.2</v>
      </c>
      <c r="I289" s="192" t="s">
        <v>12</v>
      </c>
      <c r="J289" s="192">
        <f t="shared" si="53"/>
        <v>1.7884799999999998</v>
      </c>
      <c r="K289" s="192">
        <f t="shared" ref="K289" si="54">ROUND((IF(C289="","",F289*J289)),2)</f>
        <v>2065.69</v>
      </c>
      <c r="L289" s="250">
        <f>IF(C289="","",K289/$K$734)</f>
        <v>2.0798155058490456E-4</v>
      </c>
    </row>
    <row r="290" spans="1:12" s="3" customFormat="1">
      <c r="A290" s="35" t="s">
        <v>87</v>
      </c>
      <c r="B290" s="64" t="s">
        <v>34</v>
      </c>
      <c r="C290" s="64" t="s">
        <v>34</v>
      </c>
      <c r="D290" s="36" t="s">
        <v>61</v>
      </c>
      <c r="E290" s="37" t="s">
        <v>34</v>
      </c>
      <c r="F290" s="38"/>
      <c r="G290" s="37" t="s">
        <v>34</v>
      </c>
      <c r="H290" s="39" t="str">
        <f t="shared" si="52"/>
        <v/>
      </c>
      <c r="I290" s="39"/>
      <c r="J290" s="39" t="str">
        <f t="shared" si="53"/>
        <v/>
      </c>
      <c r="K290" s="40">
        <f>SUM(K291:K291)</f>
        <v>19263.419999999998</v>
      </c>
      <c r="L290" s="247">
        <f>SUM(L291:L291)</f>
        <v>1.9395146227983199E-3</v>
      </c>
    </row>
    <row r="291" spans="1:12" s="3" customFormat="1">
      <c r="A291" s="28" t="s">
        <v>764</v>
      </c>
      <c r="B291" s="28" t="s">
        <v>4</v>
      </c>
      <c r="C291" s="43" t="s">
        <v>156</v>
      </c>
      <c r="D291" s="193" t="s">
        <v>157</v>
      </c>
      <c r="E291" s="194" t="s">
        <v>158</v>
      </c>
      <c r="F291" s="195">
        <v>47</v>
      </c>
      <c r="G291" s="191">
        <v>330</v>
      </c>
      <c r="H291" s="192">
        <f t="shared" si="52"/>
        <v>15510</v>
      </c>
      <c r="I291" s="192" t="s">
        <v>12</v>
      </c>
      <c r="J291" s="192">
        <f t="shared" si="53"/>
        <v>409.86</v>
      </c>
      <c r="K291" s="192">
        <f>ROUND((IF(C291="","",F291*J291)),2)</f>
        <v>19263.419999999998</v>
      </c>
      <c r="L291" s="250">
        <f>IF(C291="","",K291/$K$734)</f>
        <v>1.9395146227983199E-3</v>
      </c>
    </row>
    <row r="292" spans="1:12" s="3" customFormat="1">
      <c r="A292" s="43" t="s">
        <v>151</v>
      </c>
      <c r="B292" s="65"/>
      <c r="C292" s="65"/>
      <c r="D292" s="42"/>
      <c r="E292" s="44"/>
      <c r="F292" s="45"/>
      <c r="G292" s="274"/>
      <c r="H292" s="47"/>
      <c r="I292" s="47"/>
      <c r="J292" s="47"/>
      <c r="K292" s="47"/>
      <c r="L292" s="248"/>
    </row>
    <row r="293" spans="1:12" s="3" customFormat="1">
      <c r="A293" s="32" t="s">
        <v>88</v>
      </c>
      <c r="B293" s="32" t="s">
        <v>34</v>
      </c>
      <c r="C293" s="32" t="s">
        <v>34</v>
      </c>
      <c r="D293" s="34" t="s">
        <v>89</v>
      </c>
      <c r="E293" s="33" t="s">
        <v>34</v>
      </c>
      <c r="F293" s="33"/>
      <c r="G293" s="29"/>
      <c r="H293" s="30"/>
      <c r="I293" s="30"/>
      <c r="J293" s="30"/>
      <c r="K293" s="31">
        <f>ROUND((K294+K297),2)</f>
        <v>495764.44</v>
      </c>
      <c r="L293" s="249">
        <f>L297+L294</f>
        <v>4.991545534715125E-2</v>
      </c>
    </row>
    <row r="294" spans="1:12" s="3" customFormat="1">
      <c r="A294" s="35" t="s">
        <v>90</v>
      </c>
      <c r="B294" s="64" t="s">
        <v>34</v>
      </c>
      <c r="C294" s="64" t="s">
        <v>34</v>
      </c>
      <c r="D294" s="36" t="s">
        <v>765</v>
      </c>
      <c r="E294" s="37" t="s">
        <v>34</v>
      </c>
      <c r="F294" s="38"/>
      <c r="G294" s="37"/>
      <c r="H294" s="39"/>
      <c r="I294" s="39"/>
      <c r="J294" s="39"/>
      <c r="K294" s="40">
        <f>SUM(K295:K296)</f>
        <v>344384.7</v>
      </c>
      <c r="L294" s="247">
        <f>SUM(L295:L296)</f>
        <v>3.4673965553261708E-2</v>
      </c>
    </row>
    <row r="295" spans="1:12" s="3" customFormat="1" ht="30">
      <c r="A295" s="28" t="s">
        <v>766</v>
      </c>
      <c r="B295" s="28" t="s">
        <v>160</v>
      </c>
      <c r="C295" s="43" t="s">
        <v>767</v>
      </c>
      <c r="D295" s="193" t="s">
        <v>768</v>
      </c>
      <c r="E295" s="194" t="s">
        <v>150</v>
      </c>
      <c r="F295" s="195">
        <v>247.81</v>
      </c>
      <c r="G295" s="191">
        <f>'Composições - CCU'!F5017</f>
        <v>65.016000000000005</v>
      </c>
      <c r="H295" s="192">
        <f>IF(B295="","",F295*G295)</f>
        <v>16111.614960000001</v>
      </c>
      <c r="I295" s="192" t="s">
        <v>12</v>
      </c>
      <c r="J295" s="192">
        <f>IF(E295="","",IF(I295=$G$4,(G295*(1+$H$4)),(G295*(1+$H$5))))</f>
        <v>80.749872000000011</v>
      </c>
      <c r="K295" s="192">
        <f>ROUND((IF(C295="","",F295*J295)),2)</f>
        <v>20010.63</v>
      </c>
      <c r="L295" s="250">
        <f>IF(C295="","",K295/$K$734)</f>
        <v>2.0147465764857307E-3</v>
      </c>
    </row>
    <row r="296" spans="1:12" s="3" customFormat="1" ht="45">
      <c r="A296" s="28" t="s">
        <v>769</v>
      </c>
      <c r="B296" s="28" t="s">
        <v>160</v>
      </c>
      <c r="C296" s="43" t="s">
        <v>770</v>
      </c>
      <c r="D296" s="193" t="s">
        <v>771</v>
      </c>
      <c r="E296" s="194" t="s">
        <v>150</v>
      </c>
      <c r="F296" s="195">
        <v>1437.59</v>
      </c>
      <c r="G296" s="191">
        <f>'Composições - CCU'!F5040</f>
        <v>181.67262399999998</v>
      </c>
      <c r="H296" s="192">
        <f>IF(B296="","",F296*G296)</f>
        <v>261170.74753615996</v>
      </c>
      <c r="I296" s="192" t="s">
        <v>12</v>
      </c>
      <c r="J296" s="192">
        <f>IF(E296="","",IF(I296=$G$4,(G296*(1+$H$4)),(G296*(1+$H$5))))</f>
        <v>225.63739900799999</v>
      </c>
      <c r="K296" s="192">
        <f>ROUND((IF(C296="","",F296*J296)),2)</f>
        <v>324374.07</v>
      </c>
      <c r="L296" s="250">
        <f>IF(C296="","",K296/$K$734)</f>
        <v>3.2659218976775976E-2</v>
      </c>
    </row>
    <row r="297" spans="1:12" s="3" customFormat="1">
      <c r="A297" s="35" t="s">
        <v>91</v>
      </c>
      <c r="B297" s="64" t="s">
        <v>34</v>
      </c>
      <c r="C297" s="64" t="s">
        <v>34</v>
      </c>
      <c r="D297" s="36" t="s">
        <v>92</v>
      </c>
      <c r="E297" s="37" t="s">
        <v>34</v>
      </c>
      <c r="F297" s="38"/>
      <c r="G297" s="37"/>
      <c r="H297" s="39"/>
      <c r="I297" s="39"/>
      <c r="J297" s="39"/>
      <c r="K297" s="40">
        <f>SUM(K298:K309)</f>
        <v>151379.74</v>
      </c>
      <c r="L297" s="247">
        <f>SUM(L298:L309)</f>
        <v>1.5241489793889545E-2</v>
      </c>
    </row>
    <row r="298" spans="1:12" s="3" customFormat="1" ht="30">
      <c r="A298" s="28" t="s">
        <v>766</v>
      </c>
      <c r="B298" s="28" t="s">
        <v>160</v>
      </c>
      <c r="C298" s="43" t="s">
        <v>772</v>
      </c>
      <c r="D298" s="193" t="s">
        <v>773</v>
      </c>
      <c r="E298" s="194" t="s">
        <v>150</v>
      </c>
      <c r="F298" s="195">
        <v>126.5</v>
      </c>
      <c r="G298" s="191">
        <f>'Composições - CCU'!F4873</f>
        <v>185.08350000000002</v>
      </c>
      <c r="H298" s="192">
        <f t="shared" ref="H298:H309" si="55">IF(B298="","",F298*G298)</f>
        <v>23413.062750000001</v>
      </c>
      <c r="I298" s="192" t="s">
        <v>12</v>
      </c>
      <c r="J298" s="192">
        <f>IF(E298="","",IF(I298=$G$4,(G298*(1+$H$4)),(G298*(1+$H$5))))</f>
        <v>229.87370700000002</v>
      </c>
      <c r="K298" s="192">
        <f>ROUND((IF(C298="","",F298*J298)),2)</f>
        <v>29079.02</v>
      </c>
      <c r="L298" s="250">
        <f t="shared" ref="L298:L309" si="56">IF(C298="","",K298/$K$734)</f>
        <v>2.9277866810070489E-3</v>
      </c>
    </row>
    <row r="299" spans="1:12" s="3" customFormat="1">
      <c r="A299" s="28" t="s">
        <v>769</v>
      </c>
      <c r="B299" s="28" t="s">
        <v>2</v>
      </c>
      <c r="C299" s="43">
        <v>96360</v>
      </c>
      <c r="D299" s="193" t="s">
        <v>774</v>
      </c>
      <c r="E299" s="194" t="s">
        <v>150</v>
      </c>
      <c r="F299" s="195">
        <v>28.97</v>
      </c>
      <c r="G299" s="191">
        <v>121.07</v>
      </c>
      <c r="H299" s="192">
        <f t="shared" si="55"/>
        <v>3507.3978999999995</v>
      </c>
      <c r="I299" s="192" t="s">
        <v>12</v>
      </c>
      <c r="J299" s="192">
        <f t="shared" ref="J299:J308" si="57">IF(E299="","",IF(I299=$G$4,(G299*(1+$H$4)),(G299*(1+$H$5))))</f>
        <v>150.36893999999998</v>
      </c>
      <c r="K299" s="192">
        <f t="shared" ref="K299:K308" si="58">ROUND((IF(C299="","",F299*J299)),2)</f>
        <v>4356.1899999999996</v>
      </c>
      <c r="L299" s="250">
        <f t="shared" si="56"/>
        <v>4.3859782970458064E-4</v>
      </c>
    </row>
    <row r="300" spans="1:12" s="3" customFormat="1" ht="30">
      <c r="A300" s="28" t="s">
        <v>775</v>
      </c>
      <c r="B300" s="28" t="s">
        <v>2</v>
      </c>
      <c r="C300" s="43">
        <v>90793</v>
      </c>
      <c r="D300" s="193" t="s">
        <v>776</v>
      </c>
      <c r="E300" s="194" t="s">
        <v>167</v>
      </c>
      <c r="F300" s="195">
        <v>2</v>
      </c>
      <c r="G300" s="191">
        <v>955.22</v>
      </c>
      <c r="H300" s="192">
        <f t="shared" si="55"/>
        <v>1910.44</v>
      </c>
      <c r="I300" s="192" t="s">
        <v>12</v>
      </c>
      <c r="J300" s="192">
        <f t="shared" si="57"/>
        <v>1186.3832400000001</v>
      </c>
      <c r="K300" s="192">
        <f t="shared" si="58"/>
        <v>2372.77</v>
      </c>
      <c r="L300" s="250">
        <f t="shared" si="56"/>
        <v>2.3889953661069372E-4</v>
      </c>
    </row>
    <row r="301" spans="1:12" s="3" customFormat="1" ht="30">
      <c r="A301" s="28" t="s">
        <v>777</v>
      </c>
      <c r="B301" s="28" t="s">
        <v>2</v>
      </c>
      <c r="C301" s="43">
        <v>90793</v>
      </c>
      <c r="D301" s="193" t="s">
        <v>778</v>
      </c>
      <c r="E301" s="194" t="s">
        <v>167</v>
      </c>
      <c r="F301" s="195">
        <v>2</v>
      </c>
      <c r="G301" s="191">
        <v>955.22</v>
      </c>
      <c r="H301" s="192">
        <f t="shared" si="55"/>
        <v>1910.44</v>
      </c>
      <c r="I301" s="192" t="s">
        <v>12</v>
      </c>
      <c r="J301" s="192">
        <f t="shared" si="57"/>
        <v>1186.3832400000001</v>
      </c>
      <c r="K301" s="192">
        <f t="shared" si="58"/>
        <v>2372.77</v>
      </c>
      <c r="L301" s="250">
        <f t="shared" si="56"/>
        <v>2.3889953661069372E-4</v>
      </c>
    </row>
    <row r="302" spans="1:12" s="3" customFormat="1" ht="30">
      <c r="A302" s="28" t="s">
        <v>779</v>
      </c>
      <c r="B302" s="28" t="s">
        <v>160</v>
      </c>
      <c r="C302" s="43" t="s">
        <v>780</v>
      </c>
      <c r="D302" s="193" t="s">
        <v>781</v>
      </c>
      <c r="E302" s="194" t="s">
        <v>167</v>
      </c>
      <c r="F302" s="195">
        <v>3</v>
      </c>
      <c r="G302" s="191">
        <f>'Composições - CCU'!F4896</f>
        <v>3406.4746559999999</v>
      </c>
      <c r="H302" s="192">
        <f t="shared" si="55"/>
        <v>10219.423967999999</v>
      </c>
      <c r="I302" s="192" t="s">
        <v>12</v>
      </c>
      <c r="J302" s="192">
        <f t="shared" si="57"/>
        <v>4230.8415227519999</v>
      </c>
      <c r="K302" s="192">
        <f t="shared" si="58"/>
        <v>12692.52</v>
      </c>
      <c r="L302" s="250">
        <f t="shared" si="56"/>
        <v>1.2779313403414416E-3</v>
      </c>
    </row>
    <row r="303" spans="1:12" s="3" customFormat="1" ht="30">
      <c r="A303" s="28" t="s">
        <v>782</v>
      </c>
      <c r="B303" s="28" t="s">
        <v>160</v>
      </c>
      <c r="C303" s="43" t="s">
        <v>783</v>
      </c>
      <c r="D303" s="193" t="s">
        <v>784</v>
      </c>
      <c r="E303" s="194" t="s">
        <v>167</v>
      </c>
      <c r="F303" s="195">
        <v>7</v>
      </c>
      <c r="G303" s="191">
        <f>'Composições - CCU'!F4920</f>
        <v>5036.4746560000003</v>
      </c>
      <c r="H303" s="192">
        <f t="shared" si="55"/>
        <v>35255.322592000004</v>
      </c>
      <c r="I303" s="192" t="s">
        <v>12</v>
      </c>
      <c r="J303" s="192">
        <f t="shared" si="57"/>
        <v>6255.301522752</v>
      </c>
      <c r="K303" s="192">
        <f t="shared" si="58"/>
        <v>43787.11</v>
      </c>
      <c r="L303" s="250">
        <f t="shared" si="56"/>
        <v>4.4086532991067292E-3</v>
      </c>
    </row>
    <row r="304" spans="1:12" s="3" customFormat="1" ht="30">
      <c r="A304" s="28" t="s">
        <v>785</v>
      </c>
      <c r="B304" s="28" t="s">
        <v>160</v>
      </c>
      <c r="C304" s="43" t="s">
        <v>786</v>
      </c>
      <c r="D304" s="193" t="s">
        <v>787</v>
      </c>
      <c r="E304" s="194" t="s">
        <v>167</v>
      </c>
      <c r="F304" s="195">
        <v>1</v>
      </c>
      <c r="G304" s="191">
        <f>'Composições - CCU'!F4944</f>
        <v>5636.4746560000003</v>
      </c>
      <c r="H304" s="192">
        <f t="shared" si="55"/>
        <v>5636.4746560000003</v>
      </c>
      <c r="I304" s="192" t="s">
        <v>12</v>
      </c>
      <c r="J304" s="192">
        <f t="shared" si="57"/>
        <v>7000.5015227520007</v>
      </c>
      <c r="K304" s="192">
        <f t="shared" si="58"/>
        <v>7000.5</v>
      </c>
      <c r="L304" s="250">
        <f t="shared" si="56"/>
        <v>7.048370495425859E-4</v>
      </c>
    </row>
    <row r="305" spans="1:12" s="3" customFormat="1" ht="30">
      <c r="A305" s="28" t="s">
        <v>788</v>
      </c>
      <c r="B305" s="28" t="s">
        <v>160</v>
      </c>
      <c r="C305" s="43" t="s">
        <v>789</v>
      </c>
      <c r="D305" s="193" t="s">
        <v>790</v>
      </c>
      <c r="E305" s="194" t="s">
        <v>167</v>
      </c>
      <c r="F305" s="195">
        <v>2</v>
      </c>
      <c r="G305" s="191">
        <f>'Composições - CCU'!F4968</f>
        <v>6156.4746560000003</v>
      </c>
      <c r="H305" s="192">
        <f t="shared" si="55"/>
        <v>12312.949312000001</v>
      </c>
      <c r="I305" s="192" t="s">
        <v>12</v>
      </c>
      <c r="J305" s="192">
        <f t="shared" si="57"/>
        <v>7646.3415227519999</v>
      </c>
      <c r="K305" s="192">
        <f t="shared" si="58"/>
        <v>15292.68</v>
      </c>
      <c r="L305" s="250">
        <f t="shared" si="56"/>
        <v>1.5397253697305782E-3</v>
      </c>
    </row>
    <row r="306" spans="1:12" s="3" customFormat="1">
      <c r="A306" s="28" t="s">
        <v>791</v>
      </c>
      <c r="B306" s="28" t="s">
        <v>2</v>
      </c>
      <c r="C306" s="43">
        <v>88489</v>
      </c>
      <c r="D306" s="193" t="s">
        <v>792</v>
      </c>
      <c r="E306" s="194" t="s">
        <v>150</v>
      </c>
      <c r="F306" s="195">
        <v>281.98</v>
      </c>
      <c r="G306" s="191">
        <v>11.82</v>
      </c>
      <c r="H306" s="192">
        <f t="shared" si="55"/>
        <v>3333.0036000000005</v>
      </c>
      <c r="I306" s="192" t="s">
        <v>12</v>
      </c>
      <c r="J306" s="192">
        <f t="shared" si="57"/>
        <v>14.680440000000001</v>
      </c>
      <c r="K306" s="192">
        <f t="shared" si="58"/>
        <v>4139.59</v>
      </c>
      <c r="L306" s="250">
        <f t="shared" si="56"/>
        <v>4.1678971529404945E-4</v>
      </c>
    </row>
    <row r="307" spans="1:12" s="3" customFormat="1" ht="30">
      <c r="A307" s="28" t="s">
        <v>793</v>
      </c>
      <c r="B307" s="28" t="s">
        <v>160</v>
      </c>
      <c r="C307" s="43" t="s">
        <v>794</v>
      </c>
      <c r="D307" s="193" t="s">
        <v>795</v>
      </c>
      <c r="E307" s="194" t="s">
        <v>150</v>
      </c>
      <c r="F307" s="195">
        <v>29.48</v>
      </c>
      <c r="G307" s="191">
        <f>'Composições - CCU'!F4992</f>
        <v>706.18000000000006</v>
      </c>
      <c r="H307" s="192">
        <f t="shared" si="55"/>
        <v>20818.186400000002</v>
      </c>
      <c r="I307" s="192" t="s">
        <v>12</v>
      </c>
      <c r="J307" s="192">
        <f t="shared" si="57"/>
        <v>877.07556000000011</v>
      </c>
      <c r="K307" s="192">
        <f t="shared" si="58"/>
        <v>25856.19</v>
      </c>
      <c r="L307" s="250">
        <f t="shared" si="56"/>
        <v>2.6032998602974807E-3</v>
      </c>
    </row>
    <row r="308" spans="1:12" s="3" customFormat="1">
      <c r="A308" s="28" t="s">
        <v>796</v>
      </c>
      <c r="B308" s="28" t="s">
        <v>4</v>
      </c>
      <c r="C308" s="43" t="s">
        <v>797</v>
      </c>
      <c r="D308" s="193" t="s">
        <v>798</v>
      </c>
      <c r="E308" s="194" t="s">
        <v>150</v>
      </c>
      <c r="F308" s="195">
        <v>4.1399999999999997</v>
      </c>
      <c r="G308" s="191">
        <v>372.9</v>
      </c>
      <c r="H308" s="192">
        <f t="shared" si="55"/>
        <v>1543.8059999999998</v>
      </c>
      <c r="I308" s="192" t="s">
        <v>12</v>
      </c>
      <c r="J308" s="192">
        <f t="shared" si="57"/>
        <v>463.14179999999999</v>
      </c>
      <c r="K308" s="192">
        <f t="shared" si="58"/>
        <v>1917.41</v>
      </c>
      <c r="L308" s="250">
        <f t="shared" si="56"/>
        <v>1.9305215444088988E-4</v>
      </c>
    </row>
    <row r="309" spans="1:12" s="3" customFormat="1" ht="30">
      <c r="A309" s="28" t="s">
        <v>799</v>
      </c>
      <c r="B309" s="28" t="s">
        <v>3</v>
      </c>
      <c r="C309" s="43" t="s">
        <v>800</v>
      </c>
      <c r="D309" s="193" t="s">
        <v>768</v>
      </c>
      <c r="E309" s="194" t="s">
        <v>150</v>
      </c>
      <c r="F309" s="195">
        <f>2.9*2.75+2.9*2.73+2.9*1.9</f>
        <v>21.402000000000001</v>
      </c>
      <c r="G309" s="191">
        <v>94.54</v>
      </c>
      <c r="H309" s="192">
        <f t="shared" si="55"/>
        <v>2023.3450800000003</v>
      </c>
      <c r="I309" s="192" t="s">
        <v>12</v>
      </c>
      <c r="J309" s="192">
        <f>IF(E309="","",IF(I309=$G$4,(G309*(1+$H$4)),(G309*(1+$H$5))))</f>
        <v>117.41868000000001</v>
      </c>
      <c r="K309" s="192">
        <f>ROUND((IF(C309="","",F309*J309)),2)</f>
        <v>2512.9899999999998</v>
      </c>
      <c r="L309" s="250">
        <f t="shared" si="56"/>
        <v>2.530174212027745E-4</v>
      </c>
    </row>
    <row r="310" spans="1:12" s="3" customFormat="1">
      <c r="A310" s="43" t="s">
        <v>151</v>
      </c>
      <c r="B310" s="65"/>
      <c r="C310" s="65"/>
      <c r="D310" s="42"/>
      <c r="E310" s="44"/>
      <c r="F310" s="45"/>
      <c r="G310" s="274"/>
      <c r="H310" s="47"/>
      <c r="I310" s="47"/>
      <c r="J310" s="47"/>
      <c r="K310" s="47"/>
      <c r="L310" s="248"/>
    </row>
    <row r="311" spans="1:12" s="3" customFormat="1">
      <c r="A311" s="32" t="s">
        <v>93</v>
      </c>
      <c r="B311" s="32" t="s">
        <v>34</v>
      </c>
      <c r="C311" s="32" t="s">
        <v>34</v>
      </c>
      <c r="D311" s="34" t="s">
        <v>94</v>
      </c>
      <c r="E311" s="33" t="s">
        <v>34</v>
      </c>
      <c r="F311" s="33"/>
      <c r="G311" s="29"/>
      <c r="H311" s="30"/>
      <c r="I311" s="30"/>
      <c r="J311" s="30"/>
      <c r="K311" s="31">
        <f>ROUND((K312),2)</f>
        <v>3734.84</v>
      </c>
      <c r="L311" s="249">
        <f>L312</f>
        <v>3.7603794102044588E-4</v>
      </c>
    </row>
    <row r="312" spans="1:12" s="3" customFormat="1">
      <c r="A312" s="35" t="s">
        <v>95</v>
      </c>
      <c r="B312" s="64" t="s">
        <v>34</v>
      </c>
      <c r="C312" s="64" t="s">
        <v>34</v>
      </c>
      <c r="D312" s="36" t="s">
        <v>96</v>
      </c>
      <c r="E312" s="37" t="s">
        <v>34</v>
      </c>
      <c r="F312" s="38"/>
      <c r="G312" s="37"/>
      <c r="H312" s="39"/>
      <c r="I312" s="39"/>
      <c r="J312" s="39"/>
      <c r="K312" s="40">
        <f>SUM(K313:K326)</f>
        <v>3734.8400000000006</v>
      </c>
      <c r="L312" s="247">
        <f>SUM(L313:L326)</f>
        <v>3.7603794102044588E-4</v>
      </c>
    </row>
    <row r="313" spans="1:12" s="3" customFormat="1">
      <c r="A313" s="28" t="s">
        <v>801</v>
      </c>
      <c r="B313" s="28" t="s">
        <v>2</v>
      </c>
      <c r="C313" s="43">
        <v>89402</v>
      </c>
      <c r="D313" s="193" t="s">
        <v>802</v>
      </c>
      <c r="E313" s="194" t="s">
        <v>180</v>
      </c>
      <c r="F313" s="195">
        <v>36</v>
      </c>
      <c r="G313" s="191">
        <v>11.78</v>
      </c>
      <c r="H313" s="192">
        <f t="shared" ref="H313:H326" si="59">IF(B313="","",F313*G313)</f>
        <v>424.08</v>
      </c>
      <c r="I313" s="192" t="s">
        <v>12</v>
      </c>
      <c r="J313" s="192">
        <f>IF(E313="","",IF(I313=$G$4,(G313*(1+$H$4)),(G313*(1+$H$5))))</f>
        <v>14.630759999999999</v>
      </c>
      <c r="K313" s="192">
        <f>ROUND((IF(C313="","",F313*J313)),2)</f>
        <v>526.71</v>
      </c>
      <c r="L313" s="250">
        <f t="shared" ref="L313:L326" si="60">IF(C313="","",K313/$K$734)</f>
        <v>5.3031172396910997E-5</v>
      </c>
    </row>
    <row r="314" spans="1:12" s="3" customFormat="1">
      <c r="A314" s="28" t="s">
        <v>803</v>
      </c>
      <c r="B314" s="28" t="s">
        <v>2</v>
      </c>
      <c r="C314" s="43">
        <v>89987</v>
      </c>
      <c r="D314" s="193" t="s">
        <v>804</v>
      </c>
      <c r="E314" s="194" t="s">
        <v>167</v>
      </c>
      <c r="F314" s="195">
        <v>3</v>
      </c>
      <c r="G314" s="191">
        <v>126.99</v>
      </c>
      <c r="H314" s="192">
        <f t="shared" si="59"/>
        <v>380.96999999999997</v>
      </c>
      <c r="I314" s="192" t="s">
        <v>12</v>
      </c>
      <c r="J314" s="192">
        <f t="shared" ref="J314:J325" si="61">IF(E314="","",IF(I314=$G$4,(G314*(1+$H$4)),(G314*(1+$H$5))))</f>
        <v>157.72157999999999</v>
      </c>
      <c r="K314" s="192">
        <f t="shared" ref="K314:K325" si="62">ROUND((IF(C314="","",F314*J314)),2)</f>
        <v>473.16</v>
      </c>
      <c r="L314" s="250">
        <f t="shared" si="60"/>
        <v>4.7639554083504029E-5</v>
      </c>
    </row>
    <row r="315" spans="1:12" s="3" customFormat="1" ht="30">
      <c r="A315" s="28" t="s">
        <v>805</v>
      </c>
      <c r="B315" s="28" t="s">
        <v>3</v>
      </c>
      <c r="C315" s="43" t="s">
        <v>806</v>
      </c>
      <c r="D315" s="193" t="s">
        <v>807</v>
      </c>
      <c r="E315" s="194" t="s">
        <v>167</v>
      </c>
      <c r="F315" s="195">
        <v>3</v>
      </c>
      <c r="G315" s="191">
        <v>350.18</v>
      </c>
      <c r="H315" s="192">
        <f t="shared" si="59"/>
        <v>1050.54</v>
      </c>
      <c r="I315" s="192" t="s">
        <v>12</v>
      </c>
      <c r="J315" s="192">
        <f t="shared" si="61"/>
        <v>434.92356000000001</v>
      </c>
      <c r="K315" s="192">
        <f t="shared" si="62"/>
        <v>1304.77</v>
      </c>
      <c r="L315" s="250">
        <f t="shared" si="60"/>
        <v>1.3136922178868363E-4</v>
      </c>
    </row>
    <row r="316" spans="1:12" s="3" customFormat="1">
      <c r="A316" s="28" t="s">
        <v>808</v>
      </c>
      <c r="B316" s="28" t="s">
        <v>2</v>
      </c>
      <c r="C316" s="43">
        <v>89366</v>
      </c>
      <c r="D316" s="193" t="s">
        <v>809</v>
      </c>
      <c r="E316" s="194" t="s">
        <v>167</v>
      </c>
      <c r="F316" s="195">
        <v>10</v>
      </c>
      <c r="G316" s="191">
        <v>15.25</v>
      </c>
      <c r="H316" s="192">
        <f t="shared" si="59"/>
        <v>152.5</v>
      </c>
      <c r="I316" s="192" t="s">
        <v>12</v>
      </c>
      <c r="J316" s="192">
        <f t="shared" si="61"/>
        <v>18.9405</v>
      </c>
      <c r="K316" s="192">
        <f t="shared" si="62"/>
        <v>189.41</v>
      </c>
      <c r="L316" s="250">
        <f t="shared" si="60"/>
        <v>1.9070521470446565E-5</v>
      </c>
    </row>
    <row r="317" spans="1:12" s="3" customFormat="1">
      <c r="A317" s="28" t="s">
        <v>810</v>
      </c>
      <c r="B317" s="28" t="s">
        <v>2</v>
      </c>
      <c r="C317" s="43">
        <v>89363</v>
      </c>
      <c r="D317" s="193" t="s">
        <v>811</v>
      </c>
      <c r="E317" s="194" t="s">
        <v>167</v>
      </c>
      <c r="F317" s="195">
        <v>2</v>
      </c>
      <c r="G317" s="191">
        <v>9.68</v>
      </c>
      <c r="H317" s="192">
        <f t="shared" si="59"/>
        <v>19.36</v>
      </c>
      <c r="I317" s="192" t="s">
        <v>12</v>
      </c>
      <c r="J317" s="192">
        <f t="shared" si="61"/>
        <v>12.02256</v>
      </c>
      <c r="K317" s="192">
        <f t="shared" si="62"/>
        <v>24.05</v>
      </c>
      <c r="L317" s="250">
        <f t="shared" si="60"/>
        <v>2.4214457598027555E-6</v>
      </c>
    </row>
    <row r="318" spans="1:12" s="3" customFormat="1">
      <c r="A318" s="28" t="s">
        <v>812</v>
      </c>
      <c r="B318" s="28" t="s">
        <v>2</v>
      </c>
      <c r="C318" s="43">
        <v>90373</v>
      </c>
      <c r="D318" s="193" t="s">
        <v>813</v>
      </c>
      <c r="E318" s="194" t="s">
        <v>167</v>
      </c>
      <c r="F318" s="195">
        <v>3</v>
      </c>
      <c r="G318" s="191">
        <v>12.2</v>
      </c>
      <c r="H318" s="192">
        <f t="shared" si="59"/>
        <v>36.599999999999994</v>
      </c>
      <c r="I318" s="192" t="s">
        <v>12</v>
      </c>
      <c r="J318" s="192">
        <f t="shared" si="61"/>
        <v>15.152399999999998</v>
      </c>
      <c r="K318" s="192">
        <f t="shared" si="62"/>
        <v>45.46</v>
      </c>
      <c r="L318" s="250">
        <f t="shared" si="60"/>
        <v>4.5770862470117784E-6</v>
      </c>
    </row>
    <row r="319" spans="1:12" s="3" customFormat="1">
      <c r="A319" s="28" t="s">
        <v>814</v>
      </c>
      <c r="B319" s="28" t="s">
        <v>2</v>
      </c>
      <c r="C319" s="43">
        <v>89383</v>
      </c>
      <c r="D319" s="193" t="s">
        <v>815</v>
      </c>
      <c r="E319" s="194" t="s">
        <v>167</v>
      </c>
      <c r="F319" s="195">
        <v>6</v>
      </c>
      <c r="G319" s="191">
        <v>6.21</v>
      </c>
      <c r="H319" s="192">
        <f t="shared" si="59"/>
        <v>37.26</v>
      </c>
      <c r="I319" s="192" t="s">
        <v>12</v>
      </c>
      <c r="J319" s="192">
        <f t="shared" si="61"/>
        <v>7.7128199999999998</v>
      </c>
      <c r="K319" s="192">
        <f t="shared" si="62"/>
        <v>46.28</v>
      </c>
      <c r="L319" s="250">
        <f t="shared" si="60"/>
        <v>4.6596469756204382E-6</v>
      </c>
    </row>
    <row r="320" spans="1:12" s="3" customFormat="1">
      <c r="A320" s="28" t="s">
        <v>816</v>
      </c>
      <c r="B320" s="28" t="s">
        <v>2</v>
      </c>
      <c r="C320" s="43">
        <v>89385</v>
      </c>
      <c r="D320" s="193" t="s">
        <v>817</v>
      </c>
      <c r="E320" s="194" t="s">
        <v>167</v>
      </c>
      <c r="F320" s="195">
        <v>6</v>
      </c>
      <c r="G320" s="191">
        <v>6.8</v>
      </c>
      <c r="H320" s="192">
        <f t="shared" si="59"/>
        <v>40.799999999999997</v>
      </c>
      <c r="I320" s="192" t="s">
        <v>12</v>
      </c>
      <c r="J320" s="192">
        <f t="shared" si="61"/>
        <v>8.4455999999999989</v>
      </c>
      <c r="K320" s="192">
        <f t="shared" si="62"/>
        <v>50.67</v>
      </c>
      <c r="L320" s="250">
        <f t="shared" si="60"/>
        <v>5.1016489251228951E-6</v>
      </c>
    </row>
    <row r="321" spans="1:12" s="3" customFormat="1">
      <c r="A321" s="28" t="s">
        <v>818</v>
      </c>
      <c r="B321" s="28" t="s">
        <v>2</v>
      </c>
      <c r="C321" s="43">
        <v>89711</v>
      </c>
      <c r="D321" s="193" t="s">
        <v>819</v>
      </c>
      <c r="E321" s="194" t="s">
        <v>180</v>
      </c>
      <c r="F321" s="195">
        <v>24</v>
      </c>
      <c r="G321" s="191">
        <v>20.25</v>
      </c>
      <c r="H321" s="192">
        <f t="shared" si="59"/>
        <v>486</v>
      </c>
      <c r="I321" s="192" t="s">
        <v>12</v>
      </c>
      <c r="J321" s="192">
        <f t="shared" si="61"/>
        <v>25.150500000000001</v>
      </c>
      <c r="K321" s="192">
        <f t="shared" si="62"/>
        <v>603.61</v>
      </c>
      <c r="L321" s="250">
        <f t="shared" si="60"/>
        <v>6.077375779935723E-5</v>
      </c>
    </row>
    <row r="322" spans="1:12" s="3" customFormat="1">
      <c r="A322" s="28" t="s">
        <v>820</v>
      </c>
      <c r="B322" s="28" t="s">
        <v>2</v>
      </c>
      <c r="C322" s="43">
        <v>89726</v>
      </c>
      <c r="D322" s="193" t="s">
        <v>821</v>
      </c>
      <c r="E322" s="194" t="s">
        <v>167</v>
      </c>
      <c r="F322" s="195">
        <v>3</v>
      </c>
      <c r="G322" s="191">
        <v>9.74</v>
      </c>
      <c r="H322" s="192">
        <f t="shared" si="59"/>
        <v>29.22</v>
      </c>
      <c r="I322" s="192" t="s">
        <v>12</v>
      </c>
      <c r="J322" s="192">
        <f t="shared" si="61"/>
        <v>12.09708</v>
      </c>
      <c r="K322" s="192">
        <f t="shared" si="62"/>
        <v>36.29</v>
      </c>
      <c r="L322" s="250">
        <f t="shared" si="60"/>
        <v>3.6538156600100625E-6</v>
      </c>
    </row>
    <row r="323" spans="1:12" s="3" customFormat="1">
      <c r="A323" s="28" t="s">
        <v>822</v>
      </c>
      <c r="B323" s="28" t="s">
        <v>2</v>
      </c>
      <c r="C323" s="43">
        <v>89724</v>
      </c>
      <c r="D323" s="193" t="s">
        <v>823</v>
      </c>
      <c r="E323" s="194" t="s">
        <v>167</v>
      </c>
      <c r="F323" s="195">
        <v>3</v>
      </c>
      <c r="G323" s="191">
        <v>9.5299999999999994</v>
      </c>
      <c r="H323" s="192">
        <f t="shared" si="59"/>
        <v>28.589999999999996</v>
      </c>
      <c r="I323" s="192" t="s">
        <v>12</v>
      </c>
      <c r="J323" s="192">
        <f t="shared" si="61"/>
        <v>11.836259999999999</v>
      </c>
      <c r="K323" s="192">
        <f t="shared" si="62"/>
        <v>35.51</v>
      </c>
      <c r="L323" s="250">
        <f t="shared" si="60"/>
        <v>3.5752822840164591E-6</v>
      </c>
    </row>
    <row r="324" spans="1:12" s="3" customFormat="1">
      <c r="A324" s="28" t="s">
        <v>824</v>
      </c>
      <c r="B324" s="28" t="s">
        <v>160</v>
      </c>
      <c r="C324" s="43" t="s">
        <v>825</v>
      </c>
      <c r="D324" s="193" t="s">
        <v>826</v>
      </c>
      <c r="E324" s="194" t="s">
        <v>167</v>
      </c>
      <c r="F324" s="195">
        <v>3</v>
      </c>
      <c r="G324" s="191">
        <v>16.021386999999997</v>
      </c>
      <c r="H324" s="192">
        <f t="shared" si="59"/>
        <v>48.064160999999991</v>
      </c>
      <c r="I324" s="192" t="s">
        <v>12</v>
      </c>
      <c r="J324" s="192">
        <f t="shared" si="61"/>
        <v>19.898562653999996</v>
      </c>
      <c r="K324" s="192">
        <f t="shared" si="62"/>
        <v>59.7</v>
      </c>
      <c r="L324" s="250">
        <f t="shared" si="60"/>
        <v>6.010823777971913E-6</v>
      </c>
    </row>
    <row r="325" spans="1:12" s="3" customFormat="1">
      <c r="A325" s="28" t="s">
        <v>827</v>
      </c>
      <c r="B325" s="28" t="s">
        <v>2</v>
      </c>
      <c r="C325" s="43">
        <v>89825</v>
      </c>
      <c r="D325" s="193" t="s">
        <v>828</v>
      </c>
      <c r="E325" s="194" t="s">
        <v>167</v>
      </c>
      <c r="F325" s="195">
        <v>6</v>
      </c>
      <c r="G325" s="191">
        <v>15.84</v>
      </c>
      <c r="H325" s="192">
        <f t="shared" si="59"/>
        <v>95.039999999999992</v>
      </c>
      <c r="I325" s="192" t="s">
        <v>12</v>
      </c>
      <c r="J325" s="192">
        <f t="shared" si="61"/>
        <v>19.673279999999998</v>
      </c>
      <c r="K325" s="192">
        <f t="shared" si="62"/>
        <v>118.04</v>
      </c>
      <c r="L325" s="250">
        <f t="shared" si="60"/>
        <v>1.1884717567031903E-5</v>
      </c>
    </row>
    <row r="326" spans="1:12" s="3" customFormat="1">
      <c r="A326" s="28" t="s">
        <v>829</v>
      </c>
      <c r="B326" s="28" t="s">
        <v>3</v>
      </c>
      <c r="C326" s="43" t="s">
        <v>830</v>
      </c>
      <c r="D326" s="193" t="s">
        <v>831</v>
      </c>
      <c r="E326" s="194" t="s">
        <v>167</v>
      </c>
      <c r="F326" s="195">
        <v>3</v>
      </c>
      <c r="G326" s="191">
        <v>59.36</v>
      </c>
      <c r="H326" s="192">
        <f t="shared" si="59"/>
        <v>178.07999999999998</v>
      </c>
      <c r="I326" s="192" t="s">
        <v>12</v>
      </c>
      <c r="J326" s="192">
        <f>IF(E326="","",IF(I326=$G$4,(G326*(1+$H$4)),(G326*(1+$H$5))))</f>
        <v>73.725120000000004</v>
      </c>
      <c r="K326" s="192">
        <f>ROUND((IF(C326="","",F326*J326)),2)</f>
        <v>221.18</v>
      </c>
      <c r="L326" s="250">
        <f t="shared" si="60"/>
        <v>2.2269246284955239E-5</v>
      </c>
    </row>
    <row r="327" spans="1:12" s="3" customFormat="1">
      <c r="A327" s="43" t="s">
        <v>151</v>
      </c>
      <c r="B327" s="65"/>
      <c r="C327" s="65"/>
      <c r="D327" s="42"/>
      <c r="E327" s="44"/>
      <c r="F327" s="45"/>
      <c r="G327" s="274"/>
      <c r="H327" s="47"/>
      <c r="I327" s="47"/>
      <c r="J327" s="47"/>
      <c r="K327" s="47"/>
      <c r="L327" s="248"/>
    </row>
    <row r="328" spans="1:12" s="3" customFormat="1">
      <c r="A328" s="32" t="s">
        <v>97</v>
      </c>
      <c r="B328" s="32" t="s">
        <v>34</v>
      </c>
      <c r="C328" s="32" t="s">
        <v>34</v>
      </c>
      <c r="D328" s="34" t="s">
        <v>98</v>
      </c>
      <c r="E328" s="33" t="s">
        <v>34</v>
      </c>
      <c r="F328" s="33"/>
      <c r="G328" s="29"/>
      <c r="H328" s="30"/>
      <c r="I328" s="30"/>
      <c r="J328" s="30"/>
      <c r="K328" s="31">
        <f>ROUND((K329+K392+K402),2)</f>
        <v>1099387.72</v>
      </c>
      <c r="L328" s="249">
        <f>L329+L392+L402</f>
        <v>0.11069055022757669</v>
      </c>
    </row>
    <row r="329" spans="1:12" s="3" customFormat="1">
      <c r="A329" s="35" t="s">
        <v>99</v>
      </c>
      <c r="B329" s="64" t="s">
        <v>34</v>
      </c>
      <c r="C329" s="64" t="s">
        <v>34</v>
      </c>
      <c r="D329" s="36" t="s">
        <v>68</v>
      </c>
      <c r="E329" s="37" t="s">
        <v>34</v>
      </c>
      <c r="F329" s="38"/>
      <c r="G329" s="37"/>
      <c r="H329" s="39"/>
      <c r="I329" s="39"/>
      <c r="J329" s="39"/>
      <c r="K329" s="40">
        <f>SUM(K330:K391)</f>
        <v>922915.13000000012</v>
      </c>
      <c r="L329" s="247">
        <f>SUM(L330:L391)</f>
        <v>9.2922616557019097E-2</v>
      </c>
    </row>
    <row r="330" spans="1:12" s="3" customFormat="1" ht="30">
      <c r="A330" s="28" t="s">
        <v>832</v>
      </c>
      <c r="B330" s="28" t="s">
        <v>3</v>
      </c>
      <c r="C330" s="43" t="s">
        <v>833</v>
      </c>
      <c r="D330" s="193" t="s">
        <v>834</v>
      </c>
      <c r="E330" s="194" t="s">
        <v>180</v>
      </c>
      <c r="F330" s="195">
        <v>8223.65</v>
      </c>
      <c r="G330" s="191">
        <v>3.99</v>
      </c>
      <c r="H330" s="192">
        <f t="shared" ref="H330:H361" si="63">IF(B330="","",F330*G330)</f>
        <v>32812.363499999999</v>
      </c>
      <c r="I330" s="192" t="s">
        <v>12</v>
      </c>
      <c r="J330" s="192">
        <f>IF(E330="","",IF(I330=$G$4,(G330*(1+$H$4)),(G330*(1+$H$5))))</f>
        <v>4.9555800000000003</v>
      </c>
      <c r="K330" s="192">
        <f>ROUND((IF(C330="","",F330*J330)),2)</f>
        <v>40752.959999999999</v>
      </c>
      <c r="L330" s="250">
        <f t="shared" ref="L330:L361" si="64">IF(C330="","",K330/$K$734)</f>
        <v>4.1031635006823827E-3</v>
      </c>
    </row>
    <row r="331" spans="1:12" s="3" customFormat="1" ht="30">
      <c r="A331" s="28" t="s">
        <v>835</v>
      </c>
      <c r="B331" s="28" t="s">
        <v>3</v>
      </c>
      <c r="C331" s="43" t="s">
        <v>836</v>
      </c>
      <c r="D331" s="193" t="s">
        <v>837</v>
      </c>
      <c r="E331" s="194" t="s">
        <v>180</v>
      </c>
      <c r="F331" s="195">
        <v>11010.1</v>
      </c>
      <c r="G331" s="191">
        <v>5.95</v>
      </c>
      <c r="H331" s="192">
        <f t="shared" si="63"/>
        <v>65510.095000000001</v>
      </c>
      <c r="I331" s="192" t="s">
        <v>12</v>
      </c>
      <c r="J331" s="192">
        <f t="shared" ref="J331:J338" si="65">IF(E331="","",IF(I331=$G$4,(G331*(1+$H$4)),(G331*(1+$H$5))))</f>
        <v>7.3898999999999999</v>
      </c>
      <c r="K331" s="192">
        <f t="shared" ref="K331:K338" si="66">ROUND((IF(C331="","",F331*J331)),2)</f>
        <v>81363.539999999994</v>
      </c>
      <c r="L331" s="250">
        <f t="shared" si="64"/>
        <v>8.1919916397314718E-3</v>
      </c>
    </row>
    <row r="332" spans="1:12" s="3" customFormat="1" ht="30">
      <c r="A332" s="28" t="s">
        <v>838</v>
      </c>
      <c r="B332" s="28" t="s">
        <v>3</v>
      </c>
      <c r="C332" s="43" t="s">
        <v>839</v>
      </c>
      <c r="D332" s="193" t="s">
        <v>840</v>
      </c>
      <c r="E332" s="194" t="s">
        <v>180</v>
      </c>
      <c r="F332" s="195">
        <v>81</v>
      </c>
      <c r="G332" s="191">
        <v>5.54</v>
      </c>
      <c r="H332" s="192">
        <f t="shared" si="63"/>
        <v>448.74</v>
      </c>
      <c r="I332" s="192" t="s">
        <v>12</v>
      </c>
      <c r="J332" s="192">
        <f t="shared" si="65"/>
        <v>6.8806799999999999</v>
      </c>
      <c r="K332" s="192">
        <f t="shared" si="66"/>
        <v>557.34</v>
      </c>
      <c r="L332" s="250">
        <f t="shared" si="64"/>
        <v>5.6115117661890553E-5</v>
      </c>
    </row>
    <row r="333" spans="1:12" s="3" customFormat="1" ht="30">
      <c r="A333" s="28" t="s">
        <v>841</v>
      </c>
      <c r="B333" s="28" t="s">
        <v>3</v>
      </c>
      <c r="C333" s="43" t="s">
        <v>330</v>
      </c>
      <c r="D333" s="193" t="s">
        <v>842</v>
      </c>
      <c r="E333" s="194" t="s">
        <v>180</v>
      </c>
      <c r="F333" s="195">
        <v>4963</v>
      </c>
      <c r="G333" s="191">
        <v>7.93</v>
      </c>
      <c r="H333" s="192">
        <f t="shared" si="63"/>
        <v>39356.589999999997</v>
      </c>
      <c r="I333" s="192" t="s">
        <v>12</v>
      </c>
      <c r="J333" s="192">
        <f t="shared" si="65"/>
        <v>9.8490599999999997</v>
      </c>
      <c r="K333" s="192">
        <f t="shared" si="66"/>
        <v>48880.88</v>
      </c>
      <c r="L333" s="250">
        <f t="shared" si="64"/>
        <v>4.9215134973566452E-3</v>
      </c>
    </row>
    <row r="334" spans="1:12" s="3" customFormat="1" ht="30">
      <c r="A334" s="28" t="s">
        <v>843</v>
      </c>
      <c r="B334" s="28" t="s">
        <v>3</v>
      </c>
      <c r="C334" s="43" t="s">
        <v>333</v>
      </c>
      <c r="D334" s="193" t="s">
        <v>844</v>
      </c>
      <c r="E334" s="194" t="s">
        <v>180</v>
      </c>
      <c r="F334" s="195">
        <v>400</v>
      </c>
      <c r="G334" s="191">
        <v>13.07</v>
      </c>
      <c r="H334" s="192">
        <f t="shared" si="63"/>
        <v>5228</v>
      </c>
      <c r="I334" s="192" t="s">
        <v>12</v>
      </c>
      <c r="J334" s="192">
        <f t="shared" si="65"/>
        <v>16.232939999999999</v>
      </c>
      <c r="K334" s="192">
        <f t="shared" si="66"/>
        <v>6493.18</v>
      </c>
      <c r="L334" s="250">
        <f t="shared" si="64"/>
        <v>6.5375813632582362E-4</v>
      </c>
    </row>
    <row r="335" spans="1:12" s="3" customFormat="1" ht="30">
      <c r="A335" s="28" t="s">
        <v>845</v>
      </c>
      <c r="B335" s="28" t="s">
        <v>3</v>
      </c>
      <c r="C335" s="43" t="s">
        <v>207</v>
      </c>
      <c r="D335" s="193" t="s">
        <v>846</v>
      </c>
      <c r="E335" s="194" t="s">
        <v>180</v>
      </c>
      <c r="F335" s="195">
        <v>231</v>
      </c>
      <c r="G335" s="191">
        <v>17.34</v>
      </c>
      <c r="H335" s="192">
        <f t="shared" si="63"/>
        <v>4005.54</v>
      </c>
      <c r="I335" s="192" t="s">
        <v>12</v>
      </c>
      <c r="J335" s="192">
        <f t="shared" si="65"/>
        <v>21.536280000000001</v>
      </c>
      <c r="K335" s="192">
        <f t="shared" si="66"/>
        <v>4974.88</v>
      </c>
      <c r="L335" s="250">
        <f t="shared" si="64"/>
        <v>5.0088989943981421E-4</v>
      </c>
    </row>
    <row r="336" spans="1:12" s="3" customFormat="1" ht="30">
      <c r="A336" s="28" t="s">
        <v>847</v>
      </c>
      <c r="B336" s="28" t="s">
        <v>3</v>
      </c>
      <c r="C336" s="43" t="s">
        <v>220</v>
      </c>
      <c r="D336" s="193" t="s">
        <v>848</v>
      </c>
      <c r="E336" s="194" t="s">
        <v>180</v>
      </c>
      <c r="F336" s="195">
        <v>254</v>
      </c>
      <c r="G336" s="191">
        <v>25.51</v>
      </c>
      <c r="H336" s="192">
        <f t="shared" si="63"/>
        <v>6479.54</v>
      </c>
      <c r="I336" s="192" t="s">
        <v>12</v>
      </c>
      <c r="J336" s="192">
        <f t="shared" si="65"/>
        <v>31.683420000000002</v>
      </c>
      <c r="K336" s="192">
        <f t="shared" si="66"/>
        <v>8047.59</v>
      </c>
      <c r="L336" s="250">
        <f t="shared" si="64"/>
        <v>8.1026206578507516E-4</v>
      </c>
    </row>
    <row r="337" spans="1:12" s="3" customFormat="1" ht="30">
      <c r="A337" s="28" t="s">
        <v>849</v>
      </c>
      <c r="B337" s="28" t="s">
        <v>3</v>
      </c>
      <c r="C337" s="43" t="s">
        <v>850</v>
      </c>
      <c r="D337" s="193" t="s">
        <v>851</v>
      </c>
      <c r="E337" s="194" t="s">
        <v>180</v>
      </c>
      <c r="F337" s="195">
        <v>25</v>
      </c>
      <c r="G337" s="191">
        <v>48.46</v>
      </c>
      <c r="H337" s="192">
        <f t="shared" si="63"/>
        <v>1211.5</v>
      </c>
      <c r="I337" s="192" t="s">
        <v>12</v>
      </c>
      <c r="J337" s="192">
        <f t="shared" si="65"/>
        <v>60.18732</v>
      </c>
      <c r="K337" s="192">
        <f t="shared" si="66"/>
        <v>1504.68</v>
      </c>
      <c r="L337" s="250">
        <f t="shared" si="64"/>
        <v>1.5149692332058255E-4</v>
      </c>
    </row>
    <row r="338" spans="1:12" s="3" customFormat="1" ht="30">
      <c r="A338" s="28" t="s">
        <v>852</v>
      </c>
      <c r="B338" s="28" t="s">
        <v>3</v>
      </c>
      <c r="C338" s="43" t="s">
        <v>342</v>
      </c>
      <c r="D338" s="193" t="s">
        <v>853</v>
      </c>
      <c r="E338" s="194" t="s">
        <v>180</v>
      </c>
      <c r="F338" s="195">
        <v>98</v>
      </c>
      <c r="G338" s="191">
        <v>85.7</v>
      </c>
      <c r="H338" s="192">
        <f t="shared" si="63"/>
        <v>8398.6</v>
      </c>
      <c r="I338" s="192" t="s">
        <v>12</v>
      </c>
      <c r="J338" s="192">
        <f t="shared" si="65"/>
        <v>106.43940000000001</v>
      </c>
      <c r="K338" s="192">
        <f t="shared" si="66"/>
        <v>10431.06</v>
      </c>
      <c r="L338" s="250">
        <f t="shared" si="64"/>
        <v>1.0502389192202964E-3</v>
      </c>
    </row>
    <row r="339" spans="1:12" s="3" customFormat="1" ht="30">
      <c r="A339" s="28" t="s">
        <v>854</v>
      </c>
      <c r="B339" s="28" t="s">
        <v>3</v>
      </c>
      <c r="C339" s="43" t="s">
        <v>855</v>
      </c>
      <c r="D339" s="193" t="s">
        <v>856</v>
      </c>
      <c r="E339" s="194" t="s">
        <v>180</v>
      </c>
      <c r="F339" s="195">
        <v>35</v>
      </c>
      <c r="G339" s="191">
        <v>113.72</v>
      </c>
      <c r="H339" s="192">
        <f t="shared" si="63"/>
        <v>3980.2</v>
      </c>
      <c r="I339" s="192" t="s">
        <v>12</v>
      </c>
      <c r="J339" s="192">
        <f>IF(E339="","",IF(I339=$G$4,(G339*(1+$H$4)),(G339*(1+$H$5))))</f>
        <v>141.24024</v>
      </c>
      <c r="K339" s="192">
        <f>ROUND((IF(C339="","",F339*J339)),2)</f>
        <v>4943.41</v>
      </c>
      <c r="L339" s="250">
        <f t="shared" si="64"/>
        <v>4.9772137976991843E-4</v>
      </c>
    </row>
    <row r="340" spans="1:12" s="3" customFormat="1" ht="30">
      <c r="A340" s="28" t="s">
        <v>857</v>
      </c>
      <c r="B340" s="28" t="s">
        <v>3</v>
      </c>
      <c r="C340" s="43" t="s">
        <v>858</v>
      </c>
      <c r="D340" s="193" t="s">
        <v>859</v>
      </c>
      <c r="E340" s="194" t="s">
        <v>180</v>
      </c>
      <c r="F340" s="195">
        <v>138</v>
      </c>
      <c r="G340" s="191">
        <v>196.74</v>
      </c>
      <c r="H340" s="192">
        <f t="shared" si="63"/>
        <v>27150.120000000003</v>
      </c>
      <c r="I340" s="192" t="s">
        <v>12</v>
      </c>
      <c r="J340" s="192">
        <f t="shared" ref="J340:J346" si="67">IF(E340="","",IF(I340=$G$4,(G340*(1+$H$4)),(G340*(1+$H$5))))</f>
        <v>244.35108</v>
      </c>
      <c r="K340" s="192">
        <f t="shared" ref="K340:K346" si="68">ROUND((IF(C340="","",F340*J340)),2)</f>
        <v>33720.449999999997</v>
      </c>
      <c r="L340" s="250">
        <f t="shared" si="64"/>
        <v>3.3951035622095975E-3</v>
      </c>
    </row>
    <row r="341" spans="1:12" s="3" customFormat="1">
      <c r="A341" s="28" t="s">
        <v>860</v>
      </c>
      <c r="B341" s="28" t="s">
        <v>160</v>
      </c>
      <c r="C341" s="43" t="s">
        <v>861</v>
      </c>
      <c r="D341" s="193" t="s">
        <v>862</v>
      </c>
      <c r="E341" s="194" t="s">
        <v>167</v>
      </c>
      <c r="F341" s="195">
        <v>446</v>
      </c>
      <c r="G341" s="191">
        <f>'Composições - CCU'!F181</f>
        <v>19.904990208000001</v>
      </c>
      <c r="H341" s="192">
        <f t="shared" si="63"/>
        <v>8877.6256327680003</v>
      </c>
      <c r="I341" s="192" t="s">
        <v>12</v>
      </c>
      <c r="J341" s="192">
        <f t="shared" si="67"/>
        <v>24.721997838336002</v>
      </c>
      <c r="K341" s="192">
        <f t="shared" si="68"/>
        <v>11026.01</v>
      </c>
      <c r="L341" s="250">
        <f t="shared" si="64"/>
        <v>1.1101407551784941E-3</v>
      </c>
    </row>
    <row r="342" spans="1:12" s="3" customFormat="1">
      <c r="A342" s="28" t="s">
        <v>863</v>
      </c>
      <c r="B342" s="28" t="s">
        <v>3</v>
      </c>
      <c r="C342" s="43" t="s">
        <v>348</v>
      </c>
      <c r="D342" s="193" t="s">
        <v>349</v>
      </c>
      <c r="E342" s="194" t="s">
        <v>163</v>
      </c>
      <c r="F342" s="195">
        <v>1</v>
      </c>
      <c r="G342" s="191">
        <v>75.349999999999994</v>
      </c>
      <c r="H342" s="192">
        <f t="shared" si="63"/>
        <v>75.349999999999994</v>
      </c>
      <c r="I342" s="192" t="s">
        <v>12</v>
      </c>
      <c r="J342" s="192">
        <f t="shared" si="67"/>
        <v>93.584699999999998</v>
      </c>
      <c r="K342" s="192">
        <f t="shared" si="68"/>
        <v>93.58</v>
      </c>
      <c r="L342" s="250">
        <f t="shared" si="64"/>
        <v>9.4219914429248184E-6</v>
      </c>
    </row>
    <row r="343" spans="1:12" s="3" customFormat="1" ht="30">
      <c r="A343" s="28" t="s">
        <v>864</v>
      </c>
      <c r="B343" s="28" t="s">
        <v>2</v>
      </c>
      <c r="C343" s="43">
        <v>91980</v>
      </c>
      <c r="D343" s="193" t="s">
        <v>865</v>
      </c>
      <c r="E343" s="194" t="s">
        <v>167</v>
      </c>
      <c r="F343" s="195">
        <v>162</v>
      </c>
      <c r="G343" s="191">
        <v>36.89</v>
      </c>
      <c r="H343" s="192">
        <f t="shared" si="63"/>
        <v>5976.18</v>
      </c>
      <c r="I343" s="192" t="s">
        <v>12</v>
      </c>
      <c r="J343" s="192">
        <f t="shared" si="67"/>
        <v>45.81738</v>
      </c>
      <c r="K343" s="192">
        <f t="shared" si="68"/>
        <v>7422.42</v>
      </c>
      <c r="L343" s="250">
        <f t="shared" si="64"/>
        <v>7.4731756492620244E-4</v>
      </c>
    </row>
    <row r="344" spans="1:12" s="3" customFormat="1" ht="30">
      <c r="A344" s="28" t="s">
        <v>866</v>
      </c>
      <c r="B344" s="28" t="s">
        <v>2</v>
      </c>
      <c r="C344" s="43">
        <v>91998</v>
      </c>
      <c r="D344" s="193" t="s">
        <v>867</v>
      </c>
      <c r="E344" s="194" t="s">
        <v>167</v>
      </c>
      <c r="F344" s="195">
        <v>540</v>
      </c>
      <c r="G344" s="191">
        <v>19.46</v>
      </c>
      <c r="H344" s="192">
        <f t="shared" si="63"/>
        <v>10508.4</v>
      </c>
      <c r="I344" s="192" t="s">
        <v>12</v>
      </c>
      <c r="J344" s="192">
        <f t="shared" si="67"/>
        <v>24.169320000000003</v>
      </c>
      <c r="K344" s="192">
        <f t="shared" si="68"/>
        <v>13051.43</v>
      </c>
      <c r="L344" s="250">
        <f t="shared" si="64"/>
        <v>1.3140677685181904E-3</v>
      </c>
    </row>
    <row r="345" spans="1:12" s="3" customFormat="1" ht="30">
      <c r="A345" s="28" t="s">
        <v>868</v>
      </c>
      <c r="B345" s="28" t="s">
        <v>2</v>
      </c>
      <c r="C345" s="43">
        <v>91994</v>
      </c>
      <c r="D345" s="193" t="s">
        <v>869</v>
      </c>
      <c r="E345" s="194" t="s">
        <v>167</v>
      </c>
      <c r="F345" s="195">
        <v>175</v>
      </c>
      <c r="G345" s="191">
        <v>23.2</v>
      </c>
      <c r="H345" s="192">
        <f t="shared" si="63"/>
        <v>4060</v>
      </c>
      <c r="I345" s="192" t="s">
        <v>12</v>
      </c>
      <c r="J345" s="192">
        <f t="shared" si="67"/>
        <v>28.814399999999999</v>
      </c>
      <c r="K345" s="192">
        <f t="shared" si="68"/>
        <v>5042.5200000000004</v>
      </c>
      <c r="L345" s="250">
        <f t="shared" si="64"/>
        <v>5.0770015271187497E-4</v>
      </c>
    </row>
    <row r="346" spans="1:12" s="3" customFormat="1" ht="30">
      <c r="A346" s="28" t="s">
        <v>870</v>
      </c>
      <c r="B346" s="28" t="s">
        <v>2</v>
      </c>
      <c r="C346" s="43">
        <v>91990</v>
      </c>
      <c r="D346" s="193" t="s">
        <v>871</v>
      </c>
      <c r="E346" s="194" t="s">
        <v>872</v>
      </c>
      <c r="F346" s="195">
        <v>22</v>
      </c>
      <c r="G346" s="191">
        <v>32.89</v>
      </c>
      <c r="H346" s="192">
        <f t="shared" si="63"/>
        <v>723.58</v>
      </c>
      <c r="I346" s="192" t="s">
        <v>12</v>
      </c>
      <c r="J346" s="192">
        <f t="shared" si="67"/>
        <v>40.849380000000004</v>
      </c>
      <c r="K346" s="192">
        <f t="shared" si="68"/>
        <v>898.69</v>
      </c>
      <c r="L346" s="250">
        <f t="shared" si="64"/>
        <v>9.0483538040629459E-5</v>
      </c>
    </row>
    <row r="347" spans="1:12" s="3" customFormat="1" ht="45">
      <c r="A347" s="28" t="s">
        <v>873</v>
      </c>
      <c r="B347" s="28" t="s">
        <v>3</v>
      </c>
      <c r="C347" s="43" t="s">
        <v>874</v>
      </c>
      <c r="D347" s="193" t="s">
        <v>875</v>
      </c>
      <c r="E347" s="194" t="s">
        <v>167</v>
      </c>
      <c r="F347" s="195">
        <v>21</v>
      </c>
      <c r="G347" s="191">
        <v>16.829999999999998</v>
      </c>
      <c r="H347" s="192">
        <f t="shared" si="63"/>
        <v>353.42999999999995</v>
      </c>
      <c r="I347" s="192" t="s">
        <v>12</v>
      </c>
      <c r="J347" s="192">
        <f>IF(E347="","",IF(I347=$G$4,(G347*(1+$H$4)),(G347*(1+$H$5))))</f>
        <v>20.902859999999997</v>
      </c>
      <c r="K347" s="192">
        <f>ROUND((IF(C347="","",F347*J347)),2)</f>
        <v>438.96</v>
      </c>
      <c r="L347" s="250">
        <f t="shared" si="64"/>
        <v>4.4196167597630667E-5</v>
      </c>
    </row>
    <row r="348" spans="1:12" s="3" customFormat="1" ht="30">
      <c r="A348" s="28" t="s">
        <v>876</v>
      </c>
      <c r="B348" s="28" t="s">
        <v>3</v>
      </c>
      <c r="C348" s="43" t="s">
        <v>877</v>
      </c>
      <c r="D348" s="193" t="s">
        <v>878</v>
      </c>
      <c r="E348" s="194" t="s">
        <v>167</v>
      </c>
      <c r="F348" s="195">
        <v>114</v>
      </c>
      <c r="G348" s="191">
        <v>5.86</v>
      </c>
      <c r="H348" s="192">
        <f t="shared" si="63"/>
        <v>668.04000000000008</v>
      </c>
      <c r="I348" s="192" t="s">
        <v>12</v>
      </c>
      <c r="J348" s="192">
        <f t="shared" ref="J348:J354" si="69">IF(E348="","",IF(I348=$G$4,(G348*(1+$H$4)),(G348*(1+$H$5))))</f>
        <v>7.2781200000000004</v>
      </c>
      <c r="K348" s="192">
        <f t="shared" ref="K348:K354" si="70">ROUND((IF(C348="","",F348*J348)),2)</f>
        <v>829.71</v>
      </c>
      <c r="L348" s="250">
        <f t="shared" si="64"/>
        <v>8.3538368455964428E-5</v>
      </c>
    </row>
    <row r="349" spans="1:12" s="3" customFormat="1" ht="30">
      <c r="A349" s="28" t="s">
        <v>879</v>
      </c>
      <c r="B349" s="28" t="s">
        <v>3</v>
      </c>
      <c r="C349" s="43" t="s">
        <v>880</v>
      </c>
      <c r="D349" s="193" t="s">
        <v>881</v>
      </c>
      <c r="E349" s="194" t="s">
        <v>167</v>
      </c>
      <c r="F349" s="195">
        <v>279</v>
      </c>
      <c r="G349" s="191">
        <v>5.14</v>
      </c>
      <c r="H349" s="192">
        <f t="shared" si="63"/>
        <v>1434.06</v>
      </c>
      <c r="I349" s="192" t="s">
        <v>12</v>
      </c>
      <c r="J349" s="192">
        <f t="shared" si="69"/>
        <v>6.3838799999999996</v>
      </c>
      <c r="K349" s="192">
        <f t="shared" si="70"/>
        <v>1781.1</v>
      </c>
      <c r="L349" s="250">
        <f t="shared" si="64"/>
        <v>1.7932794356693087E-4</v>
      </c>
    </row>
    <row r="350" spans="1:12" s="3" customFormat="1" ht="30">
      <c r="A350" s="28" t="s">
        <v>882</v>
      </c>
      <c r="B350" s="28" t="s">
        <v>3</v>
      </c>
      <c r="C350" s="43" t="s">
        <v>883</v>
      </c>
      <c r="D350" s="193" t="s">
        <v>884</v>
      </c>
      <c r="E350" s="194" t="s">
        <v>167</v>
      </c>
      <c r="F350" s="195">
        <v>23</v>
      </c>
      <c r="G350" s="191">
        <v>7.32</v>
      </c>
      <c r="H350" s="192">
        <f t="shared" si="63"/>
        <v>168.36</v>
      </c>
      <c r="I350" s="192" t="s">
        <v>12</v>
      </c>
      <c r="J350" s="192">
        <f t="shared" si="69"/>
        <v>9.0914400000000004</v>
      </c>
      <c r="K350" s="192">
        <f t="shared" si="70"/>
        <v>209.1</v>
      </c>
      <c r="L350" s="250">
        <f t="shared" si="64"/>
        <v>2.1052985795208157E-5</v>
      </c>
    </row>
    <row r="351" spans="1:12" s="3" customFormat="1" ht="30">
      <c r="A351" s="28" t="s">
        <v>885</v>
      </c>
      <c r="B351" s="28" t="s">
        <v>160</v>
      </c>
      <c r="C351" s="43" t="s">
        <v>886</v>
      </c>
      <c r="D351" s="193" t="s">
        <v>887</v>
      </c>
      <c r="E351" s="194" t="s">
        <v>163</v>
      </c>
      <c r="F351" s="195">
        <v>26</v>
      </c>
      <c r="G351" s="191">
        <v>14.33</v>
      </c>
      <c r="H351" s="192">
        <f t="shared" si="63"/>
        <v>372.58</v>
      </c>
      <c r="I351" s="192" t="s">
        <v>12</v>
      </c>
      <c r="J351" s="192">
        <f t="shared" si="69"/>
        <v>17.79786</v>
      </c>
      <c r="K351" s="192">
        <f t="shared" si="70"/>
        <v>462.74</v>
      </c>
      <c r="L351" s="250">
        <f t="shared" si="64"/>
        <v>4.6590428727281791E-5</v>
      </c>
    </row>
    <row r="352" spans="1:12" s="3" customFormat="1" ht="30">
      <c r="A352" s="28" t="s">
        <v>888</v>
      </c>
      <c r="B352" s="28" t="s">
        <v>2</v>
      </c>
      <c r="C352" s="43">
        <v>91941</v>
      </c>
      <c r="D352" s="193" t="s">
        <v>889</v>
      </c>
      <c r="E352" s="194" t="s">
        <v>167</v>
      </c>
      <c r="F352" s="195">
        <v>176</v>
      </c>
      <c r="G352" s="191">
        <v>11.23</v>
      </c>
      <c r="H352" s="192">
        <f t="shared" si="63"/>
        <v>1976.48</v>
      </c>
      <c r="I352" s="192" t="s">
        <v>12</v>
      </c>
      <c r="J352" s="192">
        <f t="shared" si="69"/>
        <v>13.947660000000001</v>
      </c>
      <c r="K352" s="192">
        <f t="shared" si="70"/>
        <v>2454.79</v>
      </c>
      <c r="L352" s="250">
        <f t="shared" si="64"/>
        <v>2.471576231478672E-4</v>
      </c>
    </row>
    <row r="353" spans="1:12" s="3" customFormat="1" ht="30">
      <c r="A353" s="28" t="s">
        <v>890</v>
      </c>
      <c r="B353" s="28" t="s">
        <v>2</v>
      </c>
      <c r="C353" s="43">
        <v>91940</v>
      </c>
      <c r="D353" s="193" t="s">
        <v>891</v>
      </c>
      <c r="E353" s="194" t="s">
        <v>167</v>
      </c>
      <c r="F353" s="195">
        <v>195</v>
      </c>
      <c r="G353" s="191">
        <v>17.579999999999998</v>
      </c>
      <c r="H353" s="192">
        <f t="shared" si="63"/>
        <v>3428.0999999999995</v>
      </c>
      <c r="I353" s="192" t="s">
        <v>12</v>
      </c>
      <c r="J353" s="192">
        <f t="shared" si="69"/>
        <v>21.834359999999997</v>
      </c>
      <c r="K353" s="192">
        <f t="shared" si="70"/>
        <v>4257.7</v>
      </c>
      <c r="L353" s="250">
        <f t="shared" si="64"/>
        <v>4.2868148072815768E-4</v>
      </c>
    </row>
    <row r="354" spans="1:12" s="3" customFormat="1" ht="30">
      <c r="A354" s="28" t="s">
        <v>892</v>
      </c>
      <c r="B354" s="28" t="s">
        <v>2</v>
      </c>
      <c r="C354" s="43">
        <v>91939</v>
      </c>
      <c r="D354" s="193" t="s">
        <v>893</v>
      </c>
      <c r="E354" s="194" t="s">
        <v>872</v>
      </c>
      <c r="F354" s="195">
        <v>22</v>
      </c>
      <c r="G354" s="191">
        <v>30.51</v>
      </c>
      <c r="H354" s="192">
        <f t="shared" si="63"/>
        <v>671.22</v>
      </c>
      <c r="I354" s="192" t="s">
        <v>12</v>
      </c>
      <c r="J354" s="192">
        <f t="shared" si="69"/>
        <v>37.893419999999999</v>
      </c>
      <c r="K354" s="192">
        <f t="shared" si="70"/>
        <v>833.66</v>
      </c>
      <c r="L354" s="250">
        <f t="shared" si="64"/>
        <v>8.3936069526701254E-5</v>
      </c>
    </row>
    <row r="355" spans="1:12" s="3" customFormat="1" ht="30">
      <c r="A355" s="28" t="s">
        <v>894</v>
      </c>
      <c r="B355" s="28" t="s">
        <v>2</v>
      </c>
      <c r="C355" s="43">
        <v>91944</v>
      </c>
      <c r="D355" s="193" t="s">
        <v>895</v>
      </c>
      <c r="E355" s="194" t="s">
        <v>167</v>
      </c>
      <c r="F355" s="195">
        <v>49</v>
      </c>
      <c r="G355" s="191">
        <v>14.11</v>
      </c>
      <c r="H355" s="192">
        <f t="shared" si="63"/>
        <v>691.39</v>
      </c>
      <c r="I355" s="192" t="s">
        <v>12</v>
      </c>
      <c r="J355" s="192">
        <f>IF(E355="","",IF(I355=$G$4,(G355*(1+$H$4)),(G355*(1+$H$5))))</f>
        <v>17.524619999999999</v>
      </c>
      <c r="K355" s="192">
        <f>ROUND((IF(C355="","",F355*J355)),2)</f>
        <v>858.71</v>
      </c>
      <c r="L355" s="250">
        <f t="shared" si="64"/>
        <v>8.6458199101880427E-5</v>
      </c>
    </row>
    <row r="356" spans="1:12" s="3" customFormat="1" ht="30">
      <c r="A356" s="28" t="s">
        <v>896</v>
      </c>
      <c r="B356" s="28" t="s">
        <v>2</v>
      </c>
      <c r="C356" s="43">
        <v>91947</v>
      </c>
      <c r="D356" s="193" t="s">
        <v>897</v>
      </c>
      <c r="E356" s="194" t="s">
        <v>167</v>
      </c>
      <c r="F356" s="195">
        <v>176</v>
      </c>
      <c r="G356" s="191">
        <v>8.7100000000000009</v>
      </c>
      <c r="H356" s="192">
        <f t="shared" si="63"/>
        <v>1532.96</v>
      </c>
      <c r="I356" s="192" t="s">
        <v>12</v>
      </c>
      <c r="J356" s="192">
        <f t="shared" ref="J356:J361" si="71">IF(E356="","",IF(I356=$G$4,(G356*(1+$H$4)),(G356*(1+$H$5))))</f>
        <v>10.817820000000001</v>
      </c>
      <c r="K356" s="192">
        <f t="shared" ref="K356:K361" si="72">ROUND((IF(C356="","",F356*J356)),2)</f>
        <v>1903.94</v>
      </c>
      <c r="L356" s="250">
        <f t="shared" si="64"/>
        <v>1.9169594344776959E-4</v>
      </c>
    </row>
    <row r="357" spans="1:12" s="3" customFormat="1" ht="30">
      <c r="A357" s="28" t="s">
        <v>898</v>
      </c>
      <c r="B357" s="28" t="s">
        <v>2</v>
      </c>
      <c r="C357" s="43">
        <v>91946</v>
      </c>
      <c r="D357" s="193" t="s">
        <v>899</v>
      </c>
      <c r="E357" s="194" t="s">
        <v>167</v>
      </c>
      <c r="F357" s="195">
        <v>195</v>
      </c>
      <c r="G357" s="191">
        <v>10.56</v>
      </c>
      <c r="H357" s="192">
        <f t="shared" si="63"/>
        <v>2059.2000000000003</v>
      </c>
      <c r="I357" s="192" t="s">
        <v>12</v>
      </c>
      <c r="J357" s="192">
        <f t="shared" si="71"/>
        <v>13.11552</v>
      </c>
      <c r="K357" s="192">
        <f t="shared" si="72"/>
        <v>2557.5300000000002</v>
      </c>
      <c r="L357" s="250">
        <f t="shared" si="64"/>
        <v>2.5750187833963999E-4</v>
      </c>
    </row>
    <row r="358" spans="1:12" s="3" customFormat="1" ht="30">
      <c r="A358" s="28" t="s">
        <v>900</v>
      </c>
      <c r="B358" s="28" t="s">
        <v>2</v>
      </c>
      <c r="C358" s="43">
        <v>91945</v>
      </c>
      <c r="D358" s="193" t="s">
        <v>901</v>
      </c>
      <c r="E358" s="194" t="s">
        <v>167</v>
      </c>
      <c r="F358" s="195">
        <v>22</v>
      </c>
      <c r="G358" s="191">
        <v>13.51</v>
      </c>
      <c r="H358" s="192">
        <f t="shared" si="63"/>
        <v>297.21999999999997</v>
      </c>
      <c r="I358" s="192" t="s">
        <v>12</v>
      </c>
      <c r="J358" s="192">
        <f t="shared" si="71"/>
        <v>16.779419999999998</v>
      </c>
      <c r="K358" s="192">
        <f t="shared" si="72"/>
        <v>369.15</v>
      </c>
      <c r="L358" s="250">
        <f t="shared" si="64"/>
        <v>3.7167430446203209E-5</v>
      </c>
    </row>
    <row r="359" spans="1:12" s="3" customFormat="1" ht="30">
      <c r="A359" s="28" t="s">
        <v>902</v>
      </c>
      <c r="B359" s="28" t="s">
        <v>2</v>
      </c>
      <c r="C359" s="43">
        <v>91951</v>
      </c>
      <c r="D359" s="193" t="s">
        <v>903</v>
      </c>
      <c r="E359" s="194" t="s">
        <v>167</v>
      </c>
      <c r="F359" s="195">
        <v>49</v>
      </c>
      <c r="G359" s="191">
        <v>13.24</v>
      </c>
      <c r="H359" s="192">
        <f t="shared" si="63"/>
        <v>648.76</v>
      </c>
      <c r="I359" s="192" t="s">
        <v>12</v>
      </c>
      <c r="J359" s="192">
        <f t="shared" si="71"/>
        <v>16.44408</v>
      </c>
      <c r="K359" s="192">
        <f t="shared" si="72"/>
        <v>805.76</v>
      </c>
      <c r="L359" s="250">
        <f t="shared" si="64"/>
        <v>8.1126991077699301E-5</v>
      </c>
    </row>
    <row r="360" spans="1:12" s="3" customFormat="1" ht="30">
      <c r="A360" s="28" t="s">
        <v>904</v>
      </c>
      <c r="B360" s="28" t="s">
        <v>2</v>
      </c>
      <c r="C360" s="43">
        <v>91871</v>
      </c>
      <c r="D360" s="193" t="s">
        <v>905</v>
      </c>
      <c r="E360" s="194" t="s">
        <v>180</v>
      </c>
      <c r="F360" s="195">
        <v>949.3</v>
      </c>
      <c r="G360" s="191">
        <v>14.16</v>
      </c>
      <c r="H360" s="192">
        <f t="shared" si="63"/>
        <v>13442.088</v>
      </c>
      <c r="I360" s="192" t="s">
        <v>12</v>
      </c>
      <c r="J360" s="192">
        <f t="shared" si="71"/>
        <v>17.58672</v>
      </c>
      <c r="K360" s="192">
        <f t="shared" si="72"/>
        <v>16695.07</v>
      </c>
      <c r="L360" s="250">
        <f t="shared" si="64"/>
        <v>1.6809233455763073E-3</v>
      </c>
    </row>
    <row r="361" spans="1:12" s="3" customFormat="1" ht="30">
      <c r="A361" s="28" t="s">
        <v>906</v>
      </c>
      <c r="B361" s="28" t="s">
        <v>3</v>
      </c>
      <c r="C361" s="43" t="s">
        <v>359</v>
      </c>
      <c r="D361" s="193" t="s">
        <v>907</v>
      </c>
      <c r="E361" s="194" t="s">
        <v>180</v>
      </c>
      <c r="F361" s="195">
        <v>516.5</v>
      </c>
      <c r="G361" s="191">
        <v>21.59</v>
      </c>
      <c r="H361" s="192">
        <f t="shared" si="63"/>
        <v>11151.235000000001</v>
      </c>
      <c r="I361" s="192" t="s">
        <v>12</v>
      </c>
      <c r="J361" s="192">
        <f t="shared" si="71"/>
        <v>26.814779999999999</v>
      </c>
      <c r="K361" s="192">
        <f t="shared" si="72"/>
        <v>13849.83</v>
      </c>
      <c r="L361" s="250">
        <f t="shared" si="64"/>
        <v>1.3944537267147194E-3</v>
      </c>
    </row>
    <row r="362" spans="1:12" s="3" customFormat="1" ht="30">
      <c r="A362" s="28" t="s">
        <v>908</v>
      </c>
      <c r="B362" s="28" t="s">
        <v>3</v>
      </c>
      <c r="C362" s="43" t="s">
        <v>214</v>
      </c>
      <c r="D362" s="193" t="s">
        <v>215</v>
      </c>
      <c r="E362" s="194" t="s">
        <v>180</v>
      </c>
      <c r="F362" s="195">
        <v>64</v>
      </c>
      <c r="G362" s="191">
        <v>37.58</v>
      </c>
      <c r="H362" s="192">
        <f t="shared" ref="H362:H391" si="73">IF(B362="","",F362*G362)</f>
        <v>2405.12</v>
      </c>
      <c r="I362" s="192" t="s">
        <v>12</v>
      </c>
      <c r="J362" s="192">
        <f t="shared" ref="J362:J368" si="74">IF(E362="","",IF(I362=$G$4,(G362*(1+$H$4)),(G362*(1+$H$5))))</f>
        <v>46.67436</v>
      </c>
      <c r="K362" s="192">
        <f t="shared" ref="K362:K368" si="75">ROUND((IF(C362="","",F362*J362)),2)</f>
        <v>2987.16</v>
      </c>
      <c r="L362" s="250">
        <f t="shared" ref="L362:L391" si="76">IF(C362="","",K362/$K$734)</f>
        <v>3.007586659398087E-4</v>
      </c>
    </row>
    <row r="363" spans="1:12" s="3" customFormat="1" ht="30">
      <c r="A363" s="28" t="s">
        <v>909</v>
      </c>
      <c r="B363" s="28" t="s">
        <v>3</v>
      </c>
      <c r="C363" s="43" t="s">
        <v>362</v>
      </c>
      <c r="D363" s="193" t="s">
        <v>910</v>
      </c>
      <c r="E363" s="194" t="s">
        <v>180</v>
      </c>
      <c r="F363" s="195">
        <v>178</v>
      </c>
      <c r="G363" s="191">
        <v>25.56</v>
      </c>
      <c r="H363" s="192">
        <f t="shared" si="73"/>
        <v>4549.6799999999994</v>
      </c>
      <c r="I363" s="192" t="s">
        <v>12</v>
      </c>
      <c r="J363" s="192">
        <f t="shared" si="74"/>
        <v>31.745519999999999</v>
      </c>
      <c r="K363" s="192">
        <f t="shared" si="75"/>
        <v>5650.7</v>
      </c>
      <c r="L363" s="250">
        <f t="shared" si="76"/>
        <v>5.6893403554750233E-4</v>
      </c>
    </row>
    <row r="364" spans="1:12" s="3" customFormat="1" ht="30">
      <c r="A364" s="28" t="s">
        <v>911</v>
      </c>
      <c r="B364" s="28" t="s">
        <v>3</v>
      </c>
      <c r="C364" s="43" t="s">
        <v>912</v>
      </c>
      <c r="D364" s="193" t="s">
        <v>913</v>
      </c>
      <c r="E364" s="194" t="s">
        <v>167</v>
      </c>
      <c r="F364" s="195">
        <v>13</v>
      </c>
      <c r="G364" s="191">
        <v>31.89</v>
      </c>
      <c r="H364" s="192">
        <f t="shared" si="73"/>
        <v>414.57</v>
      </c>
      <c r="I364" s="192" t="s">
        <v>12</v>
      </c>
      <c r="J364" s="192">
        <f t="shared" si="74"/>
        <v>39.607379999999999</v>
      </c>
      <c r="K364" s="192">
        <f t="shared" si="75"/>
        <v>514.9</v>
      </c>
      <c r="L364" s="250">
        <f t="shared" si="76"/>
        <v>5.1842096537315545E-5</v>
      </c>
    </row>
    <row r="365" spans="1:12" s="3" customFormat="1" ht="30">
      <c r="A365" s="28" t="s">
        <v>914</v>
      </c>
      <c r="B365" s="28" t="s">
        <v>3</v>
      </c>
      <c r="C365" s="43" t="s">
        <v>915</v>
      </c>
      <c r="D365" s="193" t="s">
        <v>916</v>
      </c>
      <c r="E365" s="194" t="s">
        <v>167</v>
      </c>
      <c r="F365" s="195">
        <v>32</v>
      </c>
      <c r="G365" s="191">
        <v>29.97</v>
      </c>
      <c r="H365" s="192">
        <f t="shared" si="73"/>
        <v>959.04</v>
      </c>
      <c r="I365" s="192" t="s">
        <v>12</v>
      </c>
      <c r="J365" s="192">
        <f t="shared" si="74"/>
        <v>37.222740000000002</v>
      </c>
      <c r="K365" s="192">
        <f t="shared" si="75"/>
        <v>1191.1300000000001</v>
      </c>
      <c r="L365" s="250">
        <f t="shared" si="76"/>
        <v>1.1992751300930796E-4</v>
      </c>
    </row>
    <row r="366" spans="1:12" s="3" customFormat="1" ht="30">
      <c r="A366" s="28" t="s">
        <v>917</v>
      </c>
      <c r="B366" s="28" t="s">
        <v>3</v>
      </c>
      <c r="C366" s="43" t="s">
        <v>918</v>
      </c>
      <c r="D366" s="193" t="s">
        <v>919</v>
      </c>
      <c r="E366" s="194" t="s">
        <v>167</v>
      </c>
      <c r="F366" s="195">
        <v>5</v>
      </c>
      <c r="G366" s="191">
        <v>31.89</v>
      </c>
      <c r="H366" s="192">
        <f t="shared" si="73"/>
        <v>159.44999999999999</v>
      </c>
      <c r="I366" s="192" t="s">
        <v>12</v>
      </c>
      <c r="J366" s="192">
        <f t="shared" si="74"/>
        <v>39.607379999999999</v>
      </c>
      <c r="K366" s="192">
        <f t="shared" si="75"/>
        <v>198.04</v>
      </c>
      <c r="L366" s="250">
        <f t="shared" si="76"/>
        <v>1.9939422797145018E-5</v>
      </c>
    </row>
    <row r="367" spans="1:12" s="3" customFormat="1" ht="30">
      <c r="A367" s="28" t="s">
        <v>920</v>
      </c>
      <c r="B367" s="28" t="s">
        <v>3</v>
      </c>
      <c r="C367" s="43" t="s">
        <v>226</v>
      </c>
      <c r="D367" s="193" t="s">
        <v>227</v>
      </c>
      <c r="E367" s="194" t="s">
        <v>167</v>
      </c>
      <c r="F367" s="195">
        <v>101</v>
      </c>
      <c r="G367" s="191">
        <v>31.89</v>
      </c>
      <c r="H367" s="192">
        <f t="shared" si="73"/>
        <v>3220.89</v>
      </c>
      <c r="I367" s="192" t="s">
        <v>12</v>
      </c>
      <c r="J367" s="192">
        <f t="shared" si="74"/>
        <v>39.607379999999999</v>
      </c>
      <c r="K367" s="192">
        <f t="shared" si="75"/>
        <v>4000.35</v>
      </c>
      <c r="L367" s="250">
        <f t="shared" si="76"/>
        <v>4.0277050084103753E-4</v>
      </c>
    </row>
    <row r="368" spans="1:12" s="3" customFormat="1" ht="30">
      <c r="A368" s="28" t="s">
        <v>921</v>
      </c>
      <c r="B368" s="28" t="s">
        <v>3</v>
      </c>
      <c r="C368" s="43" t="s">
        <v>229</v>
      </c>
      <c r="D368" s="193" t="s">
        <v>230</v>
      </c>
      <c r="E368" s="194" t="s">
        <v>167</v>
      </c>
      <c r="F368" s="195">
        <v>91</v>
      </c>
      <c r="G368" s="191">
        <v>31.89</v>
      </c>
      <c r="H368" s="192">
        <f t="shared" si="73"/>
        <v>2901.9900000000002</v>
      </c>
      <c r="I368" s="192" t="s">
        <v>12</v>
      </c>
      <c r="J368" s="192">
        <f t="shared" si="74"/>
        <v>39.607379999999999</v>
      </c>
      <c r="K368" s="192">
        <f t="shared" si="75"/>
        <v>3604.27</v>
      </c>
      <c r="L368" s="250">
        <f t="shared" si="76"/>
        <v>3.6289165524674755E-4</v>
      </c>
    </row>
    <row r="369" spans="1:12" s="3" customFormat="1" ht="30">
      <c r="A369" s="28" t="s">
        <v>922</v>
      </c>
      <c r="B369" s="28" t="s">
        <v>3</v>
      </c>
      <c r="C369" s="43" t="s">
        <v>232</v>
      </c>
      <c r="D369" s="193" t="s">
        <v>233</v>
      </c>
      <c r="E369" s="194" t="s">
        <v>167</v>
      </c>
      <c r="F369" s="195">
        <v>64</v>
      </c>
      <c r="G369" s="191">
        <v>33.81</v>
      </c>
      <c r="H369" s="192">
        <f t="shared" si="73"/>
        <v>2163.84</v>
      </c>
      <c r="I369" s="192" t="s">
        <v>12</v>
      </c>
      <c r="J369" s="192">
        <f t="shared" ref="J369:J381" si="77">IF(E369="","",IF(I369=$G$4,(G369*(1+$H$4)),(G369*(1+$H$5))))</f>
        <v>41.992020000000004</v>
      </c>
      <c r="K369" s="192">
        <f t="shared" ref="K369:K381" si="78">ROUND((IF(C369="","",F369*J369)),2)</f>
        <v>2687.49</v>
      </c>
      <c r="L369" s="250">
        <f t="shared" si="76"/>
        <v>2.7058674698595873E-4</v>
      </c>
    </row>
    <row r="370" spans="1:12" s="3" customFormat="1" ht="30">
      <c r="A370" s="28" t="s">
        <v>923</v>
      </c>
      <c r="B370" s="28" t="s">
        <v>3</v>
      </c>
      <c r="C370" s="43" t="s">
        <v>924</v>
      </c>
      <c r="D370" s="193" t="s">
        <v>925</v>
      </c>
      <c r="E370" s="194" t="s">
        <v>167</v>
      </c>
      <c r="F370" s="195">
        <v>1</v>
      </c>
      <c r="G370" s="191">
        <v>35.729999999999997</v>
      </c>
      <c r="H370" s="192">
        <f t="shared" si="73"/>
        <v>35.729999999999997</v>
      </c>
      <c r="I370" s="192" t="s">
        <v>12</v>
      </c>
      <c r="J370" s="192">
        <f t="shared" si="77"/>
        <v>44.376659999999994</v>
      </c>
      <c r="K370" s="192">
        <f t="shared" si="78"/>
        <v>44.38</v>
      </c>
      <c r="L370" s="250">
        <f t="shared" si="76"/>
        <v>4.4683477264052517E-6</v>
      </c>
    </row>
    <row r="371" spans="1:12" s="3" customFormat="1" ht="45">
      <c r="A371" s="28" t="s">
        <v>926</v>
      </c>
      <c r="B371" s="28" t="s">
        <v>3</v>
      </c>
      <c r="C371" s="43" t="s">
        <v>927</v>
      </c>
      <c r="D371" s="193" t="s">
        <v>928</v>
      </c>
      <c r="E371" s="194" t="s">
        <v>167</v>
      </c>
      <c r="F371" s="195">
        <v>51</v>
      </c>
      <c r="G371" s="191">
        <v>31.22</v>
      </c>
      <c r="H371" s="192">
        <f t="shared" si="73"/>
        <v>1592.22</v>
      </c>
      <c r="I371" s="192" t="s">
        <v>12</v>
      </c>
      <c r="J371" s="192">
        <f t="shared" si="77"/>
        <v>38.775239999999997</v>
      </c>
      <c r="K371" s="192">
        <f t="shared" si="78"/>
        <v>1977.54</v>
      </c>
      <c r="L371" s="250">
        <f t="shared" si="76"/>
        <v>1.9910627225947365E-4</v>
      </c>
    </row>
    <row r="372" spans="1:12" s="3" customFormat="1">
      <c r="A372" s="28" t="s">
        <v>929</v>
      </c>
      <c r="B372" s="28" t="s">
        <v>3</v>
      </c>
      <c r="C372" s="43" t="s">
        <v>930</v>
      </c>
      <c r="D372" s="193" t="s">
        <v>931</v>
      </c>
      <c r="E372" s="194" t="s">
        <v>167</v>
      </c>
      <c r="F372" s="195">
        <v>244</v>
      </c>
      <c r="G372" s="191">
        <v>5.26</v>
      </c>
      <c r="H372" s="192">
        <f t="shared" si="73"/>
        <v>1283.44</v>
      </c>
      <c r="I372" s="192" t="s">
        <v>12</v>
      </c>
      <c r="J372" s="192">
        <f t="shared" si="77"/>
        <v>6.5329199999999998</v>
      </c>
      <c r="K372" s="192">
        <f t="shared" si="78"/>
        <v>1594.03</v>
      </c>
      <c r="L372" s="250">
        <f t="shared" si="76"/>
        <v>1.6049302222446513E-4</v>
      </c>
    </row>
    <row r="373" spans="1:12" s="3" customFormat="1" ht="45">
      <c r="A373" s="28" t="s">
        <v>932</v>
      </c>
      <c r="B373" s="28" t="s">
        <v>3</v>
      </c>
      <c r="C373" s="43" t="s">
        <v>933</v>
      </c>
      <c r="D373" s="193" t="s">
        <v>934</v>
      </c>
      <c r="E373" s="194" t="s">
        <v>180</v>
      </c>
      <c r="F373" s="195">
        <v>208</v>
      </c>
      <c r="G373" s="191">
        <v>125.7</v>
      </c>
      <c r="H373" s="192">
        <f t="shared" si="73"/>
        <v>26145.600000000002</v>
      </c>
      <c r="I373" s="192" t="s">
        <v>12</v>
      </c>
      <c r="J373" s="192">
        <f t="shared" si="77"/>
        <v>156.11940000000001</v>
      </c>
      <c r="K373" s="192">
        <f t="shared" si="78"/>
        <v>32472.84</v>
      </c>
      <c r="L373" s="250">
        <f t="shared" si="76"/>
        <v>3.2694894273078302E-3</v>
      </c>
    </row>
    <row r="374" spans="1:12" s="3" customFormat="1" ht="30">
      <c r="A374" s="28" t="s">
        <v>935</v>
      </c>
      <c r="B374" s="28" t="s">
        <v>3</v>
      </c>
      <c r="C374" s="43" t="s">
        <v>368</v>
      </c>
      <c r="D374" s="193" t="s">
        <v>369</v>
      </c>
      <c r="E374" s="194" t="s">
        <v>180</v>
      </c>
      <c r="F374" s="195">
        <v>1210</v>
      </c>
      <c r="G374" s="191">
        <v>62.08</v>
      </c>
      <c r="H374" s="192">
        <f t="shared" si="73"/>
        <v>75116.800000000003</v>
      </c>
      <c r="I374" s="192" t="s">
        <v>12</v>
      </c>
      <c r="J374" s="192">
        <f t="shared" si="77"/>
        <v>77.103359999999995</v>
      </c>
      <c r="K374" s="192">
        <f t="shared" si="78"/>
        <v>93295.07</v>
      </c>
      <c r="L374" s="250">
        <f t="shared" si="76"/>
        <v>9.3933036034096161E-3</v>
      </c>
    </row>
    <row r="375" spans="1:12" s="3" customFormat="1">
      <c r="A375" s="28" t="s">
        <v>936</v>
      </c>
      <c r="B375" s="28" t="s">
        <v>3</v>
      </c>
      <c r="C375" s="43" t="s">
        <v>937</v>
      </c>
      <c r="D375" s="193" t="s">
        <v>938</v>
      </c>
      <c r="E375" s="194" t="s">
        <v>167</v>
      </c>
      <c r="F375" s="195">
        <v>405</v>
      </c>
      <c r="G375" s="191">
        <v>30.37</v>
      </c>
      <c r="H375" s="192">
        <f t="shared" si="73"/>
        <v>12299.85</v>
      </c>
      <c r="I375" s="192" t="s">
        <v>12</v>
      </c>
      <c r="J375" s="192">
        <f t="shared" si="77"/>
        <v>37.719540000000002</v>
      </c>
      <c r="K375" s="192">
        <f t="shared" si="78"/>
        <v>15276.41</v>
      </c>
      <c r="L375" s="250">
        <f t="shared" si="76"/>
        <v>1.5380872440544039E-3</v>
      </c>
    </row>
    <row r="376" spans="1:12" s="3" customFormat="1" ht="30">
      <c r="A376" s="28" t="s">
        <v>939</v>
      </c>
      <c r="B376" s="28" t="s">
        <v>3</v>
      </c>
      <c r="C376" s="43" t="s">
        <v>940</v>
      </c>
      <c r="D376" s="193" t="s">
        <v>941</v>
      </c>
      <c r="E376" s="194" t="s">
        <v>167</v>
      </c>
      <c r="F376" s="195">
        <v>405</v>
      </c>
      <c r="G376" s="191">
        <v>299.39</v>
      </c>
      <c r="H376" s="192">
        <f t="shared" si="73"/>
        <v>121252.95</v>
      </c>
      <c r="I376" s="192" t="s">
        <v>12</v>
      </c>
      <c r="J376" s="192">
        <f t="shared" si="77"/>
        <v>371.84237999999999</v>
      </c>
      <c r="K376" s="192">
        <f t="shared" si="78"/>
        <v>150596.16</v>
      </c>
      <c r="L376" s="250">
        <f t="shared" si="76"/>
        <v>1.5162595969836896E-2</v>
      </c>
    </row>
    <row r="377" spans="1:12" s="3" customFormat="1" ht="30">
      <c r="A377" s="28" t="s">
        <v>942</v>
      </c>
      <c r="B377" s="28" t="s">
        <v>3</v>
      </c>
      <c r="C377" s="43" t="s">
        <v>943</v>
      </c>
      <c r="D377" s="193" t="s">
        <v>944</v>
      </c>
      <c r="E377" s="194" t="s">
        <v>167</v>
      </c>
      <c r="F377" s="195">
        <v>41</v>
      </c>
      <c r="G377" s="191">
        <v>47.78</v>
      </c>
      <c r="H377" s="192">
        <f t="shared" si="73"/>
        <v>1958.98</v>
      </c>
      <c r="I377" s="192" t="s">
        <v>12</v>
      </c>
      <c r="J377" s="192">
        <f t="shared" si="77"/>
        <v>59.342759999999998</v>
      </c>
      <c r="K377" s="192">
        <f t="shared" si="78"/>
        <v>2433.0500000000002</v>
      </c>
      <c r="L377" s="250">
        <f t="shared" si="76"/>
        <v>2.4496875700158401E-4</v>
      </c>
    </row>
    <row r="378" spans="1:12" s="3" customFormat="1" ht="30">
      <c r="A378" s="28" t="s">
        <v>945</v>
      </c>
      <c r="B378" s="28" t="s">
        <v>2</v>
      </c>
      <c r="C378" s="43">
        <v>97607</v>
      </c>
      <c r="D378" s="193" t="s">
        <v>946</v>
      </c>
      <c r="E378" s="194" t="s">
        <v>167</v>
      </c>
      <c r="F378" s="195">
        <v>7</v>
      </c>
      <c r="G378" s="191">
        <v>111.36</v>
      </c>
      <c r="H378" s="192">
        <f t="shared" si="73"/>
        <v>779.52</v>
      </c>
      <c r="I378" s="192" t="s">
        <v>12</v>
      </c>
      <c r="J378" s="192">
        <f t="shared" si="77"/>
        <v>138.30912000000001</v>
      </c>
      <c r="K378" s="192">
        <f t="shared" si="78"/>
        <v>968.16</v>
      </c>
      <c r="L378" s="250">
        <f t="shared" si="76"/>
        <v>9.7478042694828932E-5</v>
      </c>
    </row>
    <row r="379" spans="1:12" s="3" customFormat="1" ht="30">
      <c r="A379" s="28" t="s">
        <v>947</v>
      </c>
      <c r="B379" s="28" t="s">
        <v>3</v>
      </c>
      <c r="C379" s="43" t="s">
        <v>948</v>
      </c>
      <c r="D379" s="193" t="s">
        <v>949</v>
      </c>
      <c r="E379" s="194" t="s">
        <v>167</v>
      </c>
      <c r="F379" s="195">
        <f>4*F376</f>
        <v>1620</v>
      </c>
      <c r="G379" s="191">
        <v>26.65</v>
      </c>
      <c r="H379" s="192">
        <f t="shared" si="73"/>
        <v>43173</v>
      </c>
      <c r="I379" s="192" t="s">
        <v>12</v>
      </c>
      <c r="J379" s="192">
        <f t="shared" ref="J379:J380" si="79">IF(E379="","",IF(I379=$G$4,(G379*(1+$H$4)),(G379*(1+$H$5))))</f>
        <v>33.099299999999999</v>
      </c>
      <c r="K379" s="192">
        <f t="shared" ref="K379:K380" si="80">ROUND((IF(C379="","",F379*J379)),2)</f>
        <v>53620.87</v>
      </c>
      <c r="L379" s="250">
        <f t="shared" si="76"/>
        <v>5.3987537754026944E-3</v>
      </c>
    </row>
    <row r="380" spans="1:12" s="3" customFormat="1" ht="30">
      <c r="A380" s="28" t="s">
        <v>950</v>
      </c>
      <c r="B380" s="28" t="s">
        <v>3</v>
      </c>
      <c r="C380" s="43" t="s">
        <v>951</v>
      </c>
      <c r="D380" s="193" t="s">
        <v>952</v>
      </c>
      <c r="E380" s="194" t="s">
        <v>167</v>
      </c>
      <c r="F380" s="195">
        <f>F377</f>
        <v>41</v>
      </c>
      <c r="G380" s="191">
        <v>8.8699999999999992</v>
      </c>
      <c r="H380" s="192">
        <f t="shared" si="73"/>
        <v>363.66999999999996</v>
      </c>
      <c r="I380" s="192" t="s">
        <v>12</v>
      </c>
      <c r="J380" s="192">
        <f t="shared" si="79"/>
        <v>11.016539999999999</v>
      </c>
      <c r="K380" s="192">
        <f t="shared" si="80"/>
        <v>451.68</v>
      </c>
      <c r="L380" s="250">
        <f t="shared" si="76"/>
        <v>4.5476865729218656E-5</v>
      </c>
    </row>
    <row r="381" spans="1:12" s="3" customFormat="1" ht="30">
      <c r="A381" s="28" t="s">
        <v>953</v>
      </c>
      <c r="B381" s="28" t="s">
        <v>3</v>
      </c>
      <c r="C381" s="43" t="s">
        <v>954</v>
      </c>
      <c r="D381" s="193" t="s">
        <v>955</v>
      </c>
      <c r="E381" s="194" t="s">
        <v>180</v>
      </c>
      <c r="F381" s="195">
        <v>30</v>
      </c>
      <c r="G381" s="191">
        <v>100.23</v>
      </c>
      <c r="H381" s="192">
        <f t="shared" si="73"/>
        <v>3006.9</v>
      </c>
      <c r="I381" s="192" t="s">
        <v>12</v>
      </c>
      <c r="J381" s="192">
        <f t="shared" si="77"/>
        <v>124.48566000000001</v>
      </c>
      <c r="K381" s="192">
        <f t="shared" si="78"/>
        <v>3734.57</v>
      </c>
      <c r="L381" s="250">
        <f t="shared" si="76"/>
        <v>3.7601075639029428E-4</v>
      </c>
    </row>
    <row r="382" spans="1:12" s="3" customFormat="1" ht="30">
      <c r="A382" s="28" t="s">
        <v>956</v>
      </c>
      <c r="B382" s="28" t="s">
        <v>3</v>
      </c>
      <c r="C382" s="43" t="s">
        <v>957</v>
      </c>
      <c r="D382" s="193" t="s">
        <v>958</v>
      </c>
      <c r="E382" s="194" t="s">
        <v>167</v>
      </c>
      <c r="F382" s="195">
        <v>3</v>
      </c>
      <c r="G382" s="191">
        <v>61.85</v>
      </c>
      <c r="H382" s="192">
        <f t="shared" si="73"/>
        <v>185.55</v>
      </c>
      <c r="I382" s="192" t="s">
        <v>12</v>
      </c>
      <c r="J382" s="192">
        <f t="shared" ref="J382:J391" si="81">IF(E382="","",IF(I382=$G$4,(G382*(1+$H$4)),(G382*(1+$H$5))))</f>
        <v>76.817700000000002</v>
      </c>
      <c r="K382" s="192">
        <f t="shared" ref="K382:K391" si="82">ROUND((IF(C382="","",F382*J382)),2)</f>
        <v>230.45</v>
      </c>
      <c r="L382" s="250">
        <f t="shared" si="76"/>
        <v>2.3202585253494595E-5</v>
      </c>
    </row>
    <row r="383" spans="1:12" s="3" customFormat="1" ht="30">
      <c r="A383" s="28" t="s">
        <v>959</v>
      </c>
      <c r="B383" s="28" t="s">
        <v>3</v>
      </c>
      <c r="C383" s="43" t="s">
        <v>960</v>
      </c>
      <c r="D383" s="193" t="s">
        <v>961</v>
      </c>
      <c r="E383" s="194" t="s">
        <v>167</v>
      </c>
      <c r="F383" s="195">
        <v>1</v>
      </c>
      <c r="G383" s="191">
        <v>41.8</v>
      </c>
      <c r="H383" s="192">
        <f t="shared" si="73"/>
        <v>41.8</v>
      </c>
      <c r="I383" s="192" t="s">
        <v>12</v>
      </c>
      <c r="J383" s="192">
        <f t="shared" si="81"/>
        <v>51.915599999999998</v>
      </c>
      <c r="K383" s="192">
        <f t="shared" si="82"/>
        <v>51.92</v>
      </c>
      <c r="L383" s="250">
        <f t="shared" si="76"/>
        <v>5.227503694343413E-6</v>
      </c>
    </row>
    <row r="384" spans="1:12" s="3" customFormat="1">
      <c r="A384" s="28" t="s">
        <v>962</v>
      </c>
      <c r="B384" s="28" t="s">
        <v>160</v>
      </c>
      <c r="C384" s="43" t="s">
        <v>963</v>
      </c>
      <c r="D384" s="193" t="s">
        <v>964</v>
      </c>
      <c r="E384" s="194" t="s">
        <v>167</v>
      </c>
      <c r="F384" s="195">
        <v>1</v>
      </c>
      <c r="G384" s="191">
        <f>'Composições - CCU'!F5119</f>
        <v>45545.851211000001</v>
      </c>
      <c r="H384" s="192">
        <f t="shared" si="73"/>
        <v>45545.851211000001</v>
      </c>
      <c r="I384" s="192" t="s">
        <v>12</v>
      </c>
      <c r="J384" s="192">
        <f t="shared" si="81"/>
        <v>56567.947204062002</v>
      </c>
      <c r="K384" s="192">
        <f t="shared" si="82"/>
        <v>56567.95</v>
      </c>
      <c r="L384" s="250">
        <f t="shared" si="76"/>
        <v>5.6954770340222156E-3</v>
      </c>
    </row>
    <row r="385" spans="1:12" s="3" customFormat="1">
      <c r="A385" s="28" t="s">
        <v>965</v>
      </c>
      <c r="B385" s="28" t="s">
        <v>160</v>
      </c>
      <c r="C385" s="43" t="s">
        <v>966</v>
      </c>
      <c r="D385" s="193" t="s">
        <v>967</v>
      </c>
      <c r="E385" s="194" t="s">
        <v>167</v>
      </c>
      <c r="F385" s="195">
        <v>1</v>
      </c>
      <c r="G385" s="191">
        <f>'Composições - CCU'!F5142</f>
        <v>17895.851211000001</v>
      </c>
      <c r="H385" s="192">
        <f t="shared" si="73"/>
        <v>17895.851211000001</v>
      </c>
      <c r="I385" s="192" t="s">
        <v>12</v>
      </c>
      <c r="J385" s="192">
        <f t="shared" si="81"/>
        <v>22226.647204062003</v>
      </c>
      <c r="K385" s="192">
        <f t="shared" si="82"/>
        <v>22226.65</v>
      </c>
      <c r="L385" s="250">
        <f t="shared" si="76"/>
        <v>2.2378639250361715E-3</v>
      </c>
    </row>
    <row r="386" spans="1:12" s="3" customFormat="1">
      <c r="A386" s="28" t="s">
        <v>968</v>
      </c>
      <c r="B386" s="28" t="s">
        <v>160</v>
      </c>
      <c r="C386" s="43" t="s">
        <v>969</v>
      </c>
      <c r="D386" s="193" t="s">
        <v>970</v>
      </c>
      <c r="E386" s="194" t="s">
        <v>167</v>
      </c>
      <c r="F386" s="195">
        <v>1</v>
      </c>
      <c r="G386" s="191">
        <f>'Composições - CCU'!F5165</f>
        <v>5245.8512110000001</v>
      </c>
      <c r="H386" s="192">
        <f t="shared" si="73"/>
        <v>5245.8512110000001</v>
      </c>
      <c r="I386" s="192" t="s">
        <v>12</v>
      </c>
      <c r="J386" s="192">
        <f t="shared" si="81"/>
        <v>6515.3472040619999</v>
      </c>
      <c r="K386" s="192">
        <f t="shared" si="82"/>
        <v>6515.35</v>
      </c>
      <c r="L386" s="250">
        <f t="shared" si="76"/>
        <v>6.5599029651271874E-4</v>
      </c>
    </row>
    <row r="387" spans="1:12" s="3" customFormat="1">
      <c r="A387" s="28" t="s">
        <v>971</v>
      </c>
      <c r="B387" s="28" t="s">
        <v>160</v>
      </c>
      <c r="C387" s="43" t="s">
        <v>972</v>
      </c>
      <c r="D387" s="193" t="s">
        <v>973</v>
      </c>
      <c r="E387" s="194" t="s">
        <v>167</v>
      </c>
      <c r="F387" s="195">
        <v>1</v>
      </c>
      <c r="G387" s="191">
        <f>'Composições - CCU'!F5188</f>
        <v>11595.851210999999</v>
      </c>
      <c r="H387" s="192">
        <f t="shared" si="73"/>
        <v>11595.851210999999</v>
      </c>
      <c r="I387" s="192" t="s">
        <v>12</v>
      </c>
      <c r="J387" s="192">
        <f t="shared" si="81"/>
        <v>14402.047204061999</v>
      </c>
      <c r="K387" s="192">
        <f t="shared" si="82"/>
        <v>14402.05</v>
      </c>
      <c r="L387" s="250">
        <f t="shared" si="76"/>
        <v>1.4500533432418826E-3</v>
      </c>
    </row>
    <row r="388" spans="1:12" s="3" customFormat="1">
      <c r="A388" s="28" t="s">
        <v>974</v>
      </c>
      <c r="B388" s="28" t="s">
        <v>160</v>
      </c>
      <c r="C388" s="43" t="s">
        <v>975</v>
      </c>
      <c r="D388" s="193" t="s">
        <v>976</v>
      </c>
      <c r="E388" s="194" t="s">
        <v>167</v>
      </c>
      <c r="F388" s="195">
        <v>1</v>
      </c>
      <c r="G388" s="191">
        <f>'Composições - CCU'!F5211</f>
        <v>11595.851210999999</v>
      </c>
      <c r="H388" s="192">
        <f t="shared" si="73"/>
        <v>11595.851210999999</v>
      </c>
      <c r="I388" s="192" t="s">
        <v>12</v>
      </c>
      <c r="J388" s="192">
        <f t="shared" si="81"/>
        <v>14402.047204061999</v>
      </c>
      <c r="K388" s="192">
        <f t="shared" si="82"/>
        <v>14402.05</v>
      </c>
      <c r="L388" s="250">
        <f t="shared" si="76"/>
        <v>1.4500533432418826E-3</v>
      </c>
    </row>
    <row r="389" spans="1:12" s="3" customFormat="1">
      <c r="A389" s="28" t="s">
        <v>977</v>
      </c>
      <c r="B389" s="28" t="s">
        <v>160</v>
      </c>
      <c r="C389" s="43" t="s">
        <v>978</v>
      </c>
      <c r="D389" s="193" t="s">
        <v>979</v>
      </c>
      <c r="E389" s="194" t="s">
        <v>167</v>
      </c>
      <c r="F389" s="195">
        <v>8</v>
      </c>
      <c r="G389" s="191">
        <f>'Composições - CCU'!F5234</f>
        <v>3345.8512110000001</v>
      </c>
      <c r="H389" s="192">
        <f t="shared" si="73"/>
        <v>26766.809688000001</v>
      </c>
      <c r="I389" s="192" t="s">
        <v>12</v>
      </c>
      <c r="J389" s="192">
        <f t="shared" si="81"/>
        <v>4155.5472040619998</v>
      </c>
      <c r="K389" s="192">
        <f t="shared" si="82"/>
        <v>33244.379999999997</v>
      </c>
      <c r="L389" s="250">
        <f t="shared" si="76"/>
        <v>3.3471710182233481E-3</v>
      </c>
    </row>
    <row r="390" spans="1:12" s="3" customFormat="1">
      <c r="A390" s="28" t="s">
        <v>980</v>
      </c>
      <c r="B390" s="28" t="s">
        <v>160</v>
      </c>
      <c r="C390" s="43" t="s">
        <v>981</v>
      </c>
      <c r="D390" s="193" t="s">
        <v>982</v>
      </c>
      <c r="E390" s="194" t="s">
        <v>167</v>
      </c>
      <c r="F390" s="195">
        <v>8</v>
      </c>
      <c r="G390" s="191">
        <f>'Composições - CCU'!F5257</f>
        <v>3545.8512110000001</v>
      </c>
      <c r="H390" s="192">
        <f t="shared" si="73"/>
        <v>28366.809688000001</v>
      </c>
      <c r="I390" s="192" t="s">
        <v>12</v>
      </c>
      <c r="J390" s="192">
        <f t="shared" si="81"/>
        <v>4403.9472040620003</v>
      </c>
      <c r="K390" s="192">
        <f t="shared" si="82"/>
        <v>35231.58</v>
      </c>
      <c r="L390" s="250">
        <f t="shared" si="76"/>
        <v>3.5472498961393586E-3</v>
      </c>
    </row>
    <row r="391" spans="1:12" s="3" customFormat="1">
      <c r="A391" s="28" t="s">
        <v>983</v>
      </c>
      <c r="B391" s="28" t="s">
        <v>160</v>
      </c>
      <c r="C391" s="43" t="s">
        <v>984</v>
      </c>
      <c r="D391" s="193" t="s">
        <v>985</v>
      </c>
      <c r="E391" s="194" t="s">
        <v>167</v>
      </c>
      <c r="F391" s="195">
        <v>8</v>
      </c>
      <c r="G391" s="191">
        <f>'Composições - CCU'!F5280</f>
        <v>3545.8512110000001</v>
      </c>
      <c r="H391" s="192">
        <f t="shared" si="73"/>
        <v>28366.809688000001</v>
      </c>
      <c r="I391" s="192" t="s">
        <v>12</v>
      </c>
      <c r="J391" s="192">
        <f t="shared" si="81"/>
        <v>4403.9472040620003</v>
      </c>
      <c r="K391" s="192">
        <f t="shared" si="82"/>
        <v>35231.58</v>
      </c>
      <c r="L391" s="250">
        <f t="shared" si="76"/>
        <v>3.5472498961393586E-3</v>
      </c>
    </row>
    <row r="392" spans="1:12" s="3" customFormat="1">
      <c r="A392" s="35" t="s">
        <v>100</v>
      </c>
      <c r="B392" s="64" t="s">
        <v>34</v>
      </c>
      <c r="C392" s="64" t="s">
        <v>34</v>
      </c>
      <c r="D392" s="36" t="s">
        <v>101</v>
      </c>
      <c r="E392" s="37" t="s">
        <v>34</v>
      </c>
      <c r="F392" s="38"/>
      <c r="G392" s="37"/>
      <c r="H392" s="39"/>
      <c r="I392" s="39"/>
      <c r="J392" s="39"/>
      <c r="K392" s="40">
        <f>SUM(K393:K401)</f>
        <v>96623.219999999987</v>
      </c>
      <c r="L392" s="247">
        <f>SUM(L393:L401)</f>
        <v>9.7283944435546284E-3</v>
      </c>
    </row>
    <row r="393" spans="1:12" s="3" customFormat="1" ht="45">
      <c r="A393" s="28" t="s">
        <v>986</v>
      </c>
      <c r="B393" s="28" t="s">
        <v>3</v>
      </c>
      <c r="C393" s="43" t="s">
        <v>987</v>
      </c>
      <c r="D393" s="193" t="s">
        <v>988</v>
      </c>
      <c r="E393" s="194" t="s">
        <v>180</v>
      </c>
      <c r="F393" s="195">
        <v>165</v>
      </c>
      <c r="G393" s="191">
        <v>139.97999999999999</v>
      </c>
      <c r="H393" s="192">
        <f t="shared" ref="H393:H401" si="83">IF(B393="","",F393*G393)</f>
        <v>23096.699999999997</v>
      </c>
      <c r="I393" s="192" t="s">
        <v>12</v>
      </c>
      <c r="J393" s="192">
        <f>IF(E393="","",IF(I393=$G$4,(G393*(1+$H$4)),(G393*(1+$H$5))))</f>
        <v>173.85515999999998</v>
      </c>
      <c r="K393" s="192">
        <f>ROUND((IF(C393="","",F393*J393)),2)</f>
        <v>28686.1</v>
      </c>
      <c r="L393" s="250">
        <f t="shared" ref="L393:L401" si="84">IF(C393="","",K393/$K$734)</f>
        <v>2.8882259962693482E-3</v>
      </c>
    </row>
    <row r="394" spans="1:12" s="3" customFormat="1" ht="30">
      <c r="A394" s="28" t="s">
        <v>989</v>
      </c>
      <c r="B394" s="28" t="s">
        <v>3</v>
      </c>
      <c r="C394" s="43" t="s">
        <v>368</v>
      </c>
      <c r="D394" s="193" t="s">
        <v>369</v>
      </c>
      <c r="E394" s="194" t="s">
        <v>180</v>
      </c>
      <c r="F394" s="195">
        <v>759</v>
      </c>
      <c r="G394" s="191">
        <v>62.08</v>
      </c>
      <c r="H394" s="192">
        <f t="shared" si="83"/>
        <v>47118.720000000001</v>
      </c>
      <c r="I394" s="192" t="s">
        <v>12</v>
      </c>
      <c r="J394" s="192">
        <f t="shared" ref="J394:J401" si="85">IF(E394="","",IF(I394=$G$4,(G394*(1+$H$4)),(G394*(1+$H$5))))</f>
        <v>77.103359999999995</v>
      </c>
      <c r="K394" s="192">
        <f t="shared" ref="K394:K401" si="86">ROUND((IF(C394="","",F394*J394)),2)</f>
        <v>58521.45</v>
      </c>
      <c r="L394" s="250">
        <f t="shared" si="84"/>
        <v>5.89216286736004E-3</v>
      </c>
    </row>
    <row r="395" spans="1:12" s="3" customFormat="1" ht="30">
      <c r="A395" s="28" t="s">
        <v>990</v>
      </c>
      <c r="B395" s="28" t="s">
        <v>3</v>
      </c>
      <c r="C395" s="43" t="s">
        <v>991</v>
      </c>
      <c r="D395" s="193" t="s">
        <v>992</v>
      </c>
      <c r="E395" s="194" t="s">
        <v>180</v>
      </c>
      <c r="F395" s="195">
        <v>104.5</v>
      </c>
      <c r="G395" s="191">
        <v>57.93</v>
      </c>
      <c r="H395" s="192">
        <f t="shared" si="83"/>
        <v>6053.6850000000004</v>
      </c>
      <c r="I395" s="192" t="s">
        <v>12</v>
      </c>
      <c r="J395" s="192">
        <f t="shared" si="85"/>
        <v>71.949060000000003</v>
      </c>
      <c r="K395" s="192">
        <f t="shared" si="86"/>
        <v>7518.68</v>
      </c>
      <c r="L395" s="250">
        <f t="shared" si="84"/>
        <v>7.5700938899433609E-4</v>
      </c>
    </row>
    <row r="396" spans="1:12" s="3" customFormat="1" ht="30">
      <c r="A396" s="28" t="s">
        <v>993</v>
      </c>
      <c r="B396" s="28" t="s">
        <v>3</v>
      </c>
      <c r="C396" s="43" t="s">
        <v>994</v>
      </c>
      <c r="D396" s="193" t="s">
        <v>995</v>
      </c>
      <c r="E396" s="194" t="s">
        <v>167</v>
      </c>
      <c r="F396" s="195">
        <v>8</v>
      </c>
      <c r="G396" s="191">
        <v>76.25</v>
      </c>
      <c r="H396" s="192">
        <f t="shared" si="83"/>
        <v>610</v>
      </c>
      <c r="I396" s="192" t="s">
        <v>12</v>
      </c>
      <c r="J396" s="192">
        <f t="shared" si="85"/>
        <v>94.702500000000001</v>
      </c>
      <c r="K396" s="192">
        <f t="shared" si="86"/>
        <v>757.62</v>
      </c>
      <c r="L396" s="250">
        <f t="shared" si="84"/>
        <v>7.6280072205478746E-5</v>
      </c>
    </row>
    <row r="397" spans="1:12" s="3" customFormat="1" ht="30">
      <c r="A397" s="28" t="s">
        <v>996</v>
      </c>
      <c r="B397" s="28" t="s">
        <v>3</v>
      </c>
      <c r="C397" s="43" t="s">
        <v>997</v>
      </c>
      <c r="D397" s="193" t="s">
        <v>998</v>
      </c>
      <c r="E397" s="194" t="s">
        <v>167</v>
      </c>
      <c r="F397" s="195">
        <v>1</v>
      </c>
      <c r="G397" s="191">
        <v>84.92</v>
      </c>
      <c r="H397" s="192">
        <f t="shared" si="83"/>
        <v>84.92</v>
      </c>
      <c r="I397" s="192" t="s">
        <v>12</v>
      </c>
      <c r="J397" s="192">
        <f t="shared" si="85"/>
        <v>105.47064</v>
      </c>
      <c r="K397" s="192">
        <f t="shared" si="86"/>
        <v>105.47</v>
      </c>
      <c r="L397" s="250">
        <f t="shared" si="84"/>
        <v>1.061912200775038E-5</v>
      </c>
    </row>
    <row r="398" spans="1:12" s="3" customFormat="1">
      <c r="A398" s="28" t="s">
        <v>999</v>
      </c>
      <c r="B398" s="28" t="s">
        <v>3</v>
      </c>
      <c r="C398" s="43" t="s">
        <v>1000</v>
      </c>
      <c r="D398" s="193" t="s">
        <v>1001</v>
      </c>
      <c r="E398" s="194" t="s">
        <v>167</v>
      </c>
      <c r="F398" s="195">
        <v>9</v>
      </c>
      <c r="G398" s="191">
        <v>13.2</v>
      </c>
      <c r="H398" s="192">
        <f t="shared" si="83"/>
        <v>118.8</v>
      </c>
      <c r="I398" s="192" t="s">
        <v>12</v>
      </c>
      <c r="J398" s="192">
        <f t="shared" si="85"/>
        <v>16.394399999999997</v>
      </c>
      <c r="K398" s="192">
        <f t="shared" si="86"/>
        <v>147.55000000000001</v>
      </c>
      <c r="L398" s="250">
        <f t="shared" si="84"/>
        <v>1.485589695878988E-5</v>
      </c>
    </row>
    <row r="399" spans="1:12" s="3" customFormat="1" ht="30">
      <c r="A399" s="28" t="s">
        <v>1002</v>
      </c>
      <c r="B399" s="28" t="s">
        <v>3</v>
      </c>
      <c r="C399" s="43" t="s">
        <v>362</v>
      </c>
      <c r="D399" s="193" t="s">
        <v>910</v>
      </c>
      <c r="E399" s="194" t="s">
        <v>180</v>
      </c>
      <c r="F399" s="195">
        <v>9</v>
      </c>
      <c r="G399" s="191">
        <v>25.56</v>
      </c>
      <c r="H399" s="192">
        <f t="shared" si="83"/>
        <v>230.04</v>
      </c>
      <c r="I399" s="192" t="s">
        <v>12</v>
      </c>
      <c r="J399" s="192">
        <f t="shared" si="85"/>
        <v>31.745519999999999</v>
      </c>
      <c r="K399" s="192">
        <f t="shared" si="86"/>
        <v>285.70999999999998</v>
      </c>
      <c r="L399" s="250">
        <f t="shared" si="84"/>
        <v>2.8766372891195229E-5</v>
      </c>
    </row>
    <row r="400" spans="1:12" s="3" customFormat="1" ht="30">
      <c r="A400" s="28" t="s">
        <v>1003</v>
      </c>
      <c r="B400" s="28" t="s">
        <v>3</v>
      </c>
      <c r="C400" s="43" t="s">
        <v>198</v>
      </c>
      <c r="D400" s="193" t="s">
        <v>199</v>
      </c>
      <c r="E400" s="194" t="s">
        <v>167</v>
      </c>
      <c r="F400" s="195">
        <v>10</v>
      </c>
      <c r="G400" s="191">
        <v>41.8</v>
      </c>
      <c r="H400" s="192">
        <f t="shared" si="83"/>
        <v>418</v>
      </c>
      <c r="I400" s="192" t="s">
        <v>12</v>
      </c>
      <c r="J400" s="192">
        <f t="shared" si="85"/>
        <v>51.915599999999998</v>
      </c>
      <c r="K400" s="192">
        <f t="shared" si="86"/>
        <v>519.16</v>
      </c>
      <c r="L400" s="250">
        <f t="shared" si="84"/>
        <v>5.2271009590819067E-5</v>
      </c>
    </row>
    <row r="401" spans="1:12" s="3" customFormat="1">
      <c r="A401" s="28" t="s">
        <v>1004</v>
      </c>
      <c r="B401" s="28" t="s">
        <v>3</v>
      </c>
      <c r="C401" s="43" t="s">
        <v>204</v>
      </c>
      <c r="D401" s="193" t="s">
        <v>205</v>
      </c>
      <c r="E401" s="194" t="s">
        <v>167</v>
      </c>
      <c r="F401" s="195">
        <v>10</v>
      </c>
      <c r="G401" s="191">
        <v>6.56</v>
      </c>
      <c r="H401" s="192">
        <f t="shared" si="83"/>
        <v>65.599999999999994</v>
      </c>
      <c r="I401" s="192" t="s">
        <v>12</v>
      </c>
      <c r="J401" s="192">
        <f t="shared" si="85"/>
        <v>8.1475200000000001</v>
      </c>
      <c r="K401" s="192">
        <f t="shared" si="86"/>
        <v>81.48</v>
      </c>
      <c r="L401" s="250">
        <f t="shared" si="84"/>
        <v>8.2037172768702089E-6</v>
      </c>
    </row>
    <row r="402" spans="1:12" s="3" customFormat="1">
      <c r="A402" s="35" t="s">
        <v>102</v>
      </c>
      <c r="B402" s="64" t="s">
        <v>34</v>
      </c>
      <c r="C402" s="64" t="s">
        <v>34</v>
      </c>
      <c r="D402" s="36" t="s">
        <v>103</v>
      </c>
      <c r="E402" s="37" t="s">
        <v>34</v>
      </c>
      <c r="F402" s="38"/>
      <c r="G402" s="37"/>
      <c r="H402" s="39"/>
      <c r="I402" s="39"/>
      <c r="J402" s="39"/>
      <c r="K402" s="40">
        <f>SUM(K403:K410)</f>
        <v>79849.37</v>
      </c>
      <c r="L402" s="247">
        <f>SUM(L403:L410)</f>
        <v>8.0395392270029686E-3</v>
      </c>
    </row>
    <row r="403" spans="1:12" s="3" customFormat="1" ht="30">
      <c r="A403" s="28" t="s">
        <v>1005</v>
      </c>
      <c r="B403" s="28" t="s">
        <v>3</v>
      </c>
      <c r="C403" s="43" t="s">
        <v>362</v>
      </c>
      <c r="D403" s="193" t="s">
        <v>910</v>
      </c>
      <c r="E403" s="194" t="s">
        <v>180</v>
      </c>
      <c r="F403" s="195">
        <v>13.2</v>
      </c>
      <c r="G403" s="191">
        <v>25.56</v>
      </c>
      <c r="H403" s="192">
        <f t="shared" ref="H403:H410" si="87">IF(B403="","",F403*G403)</f>
        <v>337.39199999999994</v>
      </c>
      <c r="I403" s="192" t="s">
        <v>12</v>
      </c>
      <c r="J403" s="192">
        <f>IF(E403="","",IF(I403=$G$4,(G403*(1+$H$4)),(G403*(1+$H$5))))</f>
        <v>31.745519999999999</v>
      </c>
      <c r="K403" s="192">
        <f>ROUND((IF(C403="","",F403*J403)),2)</f>
        <v>419.04</v>
      </c>
      <c r="L403" s="250">
        <f t="shared" ref="L403:L410" si="88">IF(C403="","",K403/$K$734)</f>
        <v>4.2190545995332504E-5</v>
      </c>
    </row>
    <row r="404" spans="1:12" s="3" customFormat="1" ht="30">
      <c r="A404" s="28" t="s">
        <v>1006</v>
      </c>
      <c r="B404" s="28" t="s">
        <v>3</v>
      </c>
      <c r="C404" s="43" t="s">
        <v>217</v>
      </c>
      <c r="D404" s="193" t="s">
        <v>218</v>
      </c>
      <c r="E404" s="194" t="s">
        <v>180</v>
      </c>
      <c r="F404" s="195">
        <v>5</v>
      </c>
      <c r="G404" s="191">
        <v>48.01</v>
      </c>
      <c r="H404" s="192">
        <f t="shared" si="87"/>
        <v>240.04999999999998</v>
      </c>
      <c r="I404" s="192" t="s">
        <v>12</v>
      </c>
      <c r="J404" s="192">
        <f t="shared" ref="J404:J410" si="89">IF(E404="","",IF(I404=$G$4,(G404*(1+$H$4)),(G404*(1+$H$5))))</f>
        <v>59.628419999999998</v>
      </c>
      <c r="K404" s="192">
        <f t="shared" ref="K404:K410" si="90">ROUND((IF(C404="","",F404*J404)),2)</f>
        <v>298.14</v>
      </c>
      <c r="L404" s="250">
        <f t="shared" si="88"/>
        <v>3.0017872716324054E-5</v>
      </c>
    </row>
    <row r="405" spans="1:12" s="3" customFormat="1" ht="30">
      <c r="A405" s="28" t="s">
        <v>1007</v>
      </c>
      <c r="B405" s="28" t="s">
        <v>3</v>
      </c>
      <c r="C405" s="43" t="s">
        <v>1008</v>
      </c>
      <c r="D405" s="193" t="s">
        <v>1009</v>
      </c>
      <c r="E405" s="194" t="s">
        <v>167</v>
      </c>
      <c r="F405" s="195">
        <v>18</v>
      </c>
      <c r="G405" s="191">
        <v>38.82</v>
      </c>
      <c r="H405" s="192">
        <f t="shared" si="87"/>
        <v>698.76</v>
      </c>
      <c r="I405" s="192" t="s">
        <v>12</v>
      </c>
      <c r="J405" s="192">
        <f t="shared" si="89"/>
        <v>48.214440000000003</v>
      </c>
      <c r="K405" s="192">
        <f t="shared" si="90"/>
        <v>867.86</v>
      </c>
      <c r="L405" s="250">
        <f t="shared" si="88"/>
        <v>8.7379456012574616E-5</v>
      </c>
    </row>
    <row r="406" spans="1:12" s="3" customFormat="1">
      <c r="A406" s="28" t="s">
        <v>1010</v>
      </c>
      <c r="B406" s="28" t="s">
        <v>3</v>
      </c>
      <c r="C406" s="43" t="s">
        <v>204</v>
      </c>
      <c r="D406" s="193" t="s">
        <v>205</v>
      </c>
      <c r="E406" s="194" t="s">
        <v>167</v>
      </c>
      <c r="F406" s="195">
        <v>18</v>
      </c>
      <c r="G406" s="191">
        <v>6.56</v>
      </c>
      <c r="H406" s="192">
        <f t="shared" si="87"/>
        <v>118.08</v>
      </c>
      <c r="I406" s="192" t="s">
        <v>12</v>
      </c>
      <c r="J406" s="192">
        <f t="shared" si="89"/>
        <v>8.1475200000000001</v>
      </c>
      <c r="K406" s="192">
        <f t="shared" si="90"/>
        <v>146.66</v>
      </c>
      <c r="L406" s="250">
        <f t="shared" si="88"/>
        <v>1.4766288363104871E-5</v>
      </c>
    </row>
    <row r="407" spans="1:12" s="3" customFormat="1" ht="45">
      <c r="A407" s="28" t="s">
        <v>1011</v>
      </c>
      <c r="B407" s="28" t="s">
        <v>3</v>
      </c>
      <c r="C407" s="43" t="s">
        <v>987</v>
      </c>
      <c r="D407" s="193" t="s">
        <v>988</v>
      </c>
      <c r="E407" s="194" t="s">
        <v>180</v>
      </c>
      <c r="F407" s="195">
        <v>154</v>
      </c>
      <c r="G407" s="191">
        <v>139.97999999999999</v>
      </c>
      <c r="H407" s="192">
        <f t="shared" si="87"/>
        <v>21556.92</v>
      </c>
      <c r="I407" s="192" t="s">
        <v>12</v>
      </c>
      <c r="J407" s="192">
        <f t="shared" si="89"/>
        <v>173.85515999999998</v>
      </c>
      <c r="K407" s="192">
        <f t="shared" si="90"/>
        <v>26773.69</v>
      </c>
      <c r="L407" s="250">
        <f t="shared" si="88"/>
        <v>2.6956772609053404E-3</v>
      </c>
    </row>
    <row r="408" spans="1:12" s="3" customFormat="1" ht="30">
      <c r="A408" s="28" t="s">
        <v>1012</v>
      </c>
      <c r="B408" s="28" t="s">
        <v>3</v>
      </c>
      <c r="C408" s="43" t="s">
        <v>368</v>
      </c>
      <c r="D408" s="193" t="s">
        <v>369</v>
      </c>
      <c r="E408" s="194" t="s">
        <v>180</v>
      </c>
      <c r="F408" s="195">
        <v>660</v>
      </c>
      <c r="G408" s="191">
        <v>62.08</v>
      </c>
      <c r="H408" s="192">
        <f t="shared" si="87"/>
        <v>40972.799999999996</v>
      </c>
      <c r="I408" s="192" t="s">
        <v>12</v>
      </c>
      <c r="J408" s="192">
        <f t="shared" si="89"/>
        <v>77.103359999999995</v>
      </c>
      <c r="K408" s="192">
        <f t="shared" si="90"/>
        <v>50888.22</v>
      </c>
      <c r="L408" s="250">
        <f t="shared" si="88"/>
        <v>5.1236201473143358E-3</v>
      </c>
    </row>
    <row r="409" spans="1:12" s="3" customFormat="1" ht="30">
      <c r="A409" s="28" t="s">
        <v>1013</v>
      </c>
      <c r="B409" s="28" t="s">
        <v>2</v>
      </c>
      <c r="C409" s="43">
        <v>91222</v>
      </c>
      <c r="D409" s="193" t="s">
        <v>1014</v>
      </c>
      <c r="E409" s="194" t="s">
        <v>180</v>
      </c>
      <c r="F409" s="195">
        <v>12</v>
      </c>
      <c r="G409" s="191">
        <v>8.43</v>
      </c>
      <c r="H409" s="192">
        <f t="shared" si="87"/>
        <v>101.16</v>
      </c>
      <c r="I409" s="192" t="s">
        <v>12</v>
      </c>
      <c r="J409" s="192">
        <f t="shared" si="89"/>
        <v>10.47006</v>
      </c>
      <c r="K409" s="192">
        <f t="shared" si="90"/>
        <v>125.64</v>
      </c>
      <c r="L409" s="250">
        <f t="shared" si="88"/>
        <v>1.2649914563892649E-5</v>
      </c>
    </row>
    <row r="410" spans="1:12" s="3" customFormat="1" ht="30">
      <c r="A410" s="28" t="s">
        <v>1015</v>
      </c>
      <c r="B410" s="28" t="s">
        <v>2</v>
      </c>
      <c r="C410" s="43">
        <v>90467</v>
      </c>
      <c r="D410" s="193" t="s">
        <v>1016</v>
      </c>
      <c r="E410" s="194" t="s">
        <v>180</v>
      </c>
      <c r="F410" s="195">
        <v>12</v>
      </c>
      <c r="G410" s="191">
        <v>22.15</v>
      </c>
      <c r="H410" s="192">
        <f t="shared" si="87"/>
        <v>265.79999999999995</v>
      </c>
      <c r="I410" s="192" t="s">
        <v>12</v>
      </c>
      <c r="J410" s="192">
        <f t="shared" si="89"/>
        <v>27.510299999999997</v>
      </c>
      <c r="K410" s="192">
        <f t="shared" si="90"/>
        <v>330.12</v>
      </c>
      <c r="L410" s="250">
        <f t="shared" si="88"/>
        <v>3.3237741132061775E-5</v>
      </c>
    </row>
    <row r="411" spans="1:12" s="3" customFormat="1">
      <c r="A411" s="43" t="s">
        <v>151</v>
      </c>
      <c r="B411" s="65"/>
      <c r="C411" s="65"/>
      <c r="D411" s="42"/>
      <c r="E411" s="44"/>
      <c r="F411" s="45"/>
      <c r="G411" s="274"/>
      <c r="H411" s="47"/>
      <c r="I411" s="47"/>
      <c r="J411" s="47"/>
      <c r="K411" s="47"/>
      <c r="L411" s="248"/>
    </row>
    <row r="412" spans="1:12" s="3" customFormat="1">
      <c r="A412" s="32" t="s">
        <v>104</v>
      </c>
      <c r="B412" s="32" t="s">
        <v>34</v>
      </c>
      <c r="C412" s="32" t="s">
        <v>34</v>
      </c>
      <c r="D412" s="34" t="s">
        <v>105</v>
      </c>
      <c r="E412" s="33" t="s">
        <v>34</v>
      </c>
      <c r="F412" s="33"/>
      <c r="G412" s="29"/>
      <c r="H412" s="30"/>
      <c r="I412" s="30"/>
      <c r="J412" s="30"/>
      <c r="K412" s="31">
        <f>ROUND((K413+K483+K486+K497+K499+K501),2)</f>
        <v>2017025.34</v>
      </c>
      <c r="L412" s="249">
        <f>L413+L483+L486+L497+L499+L501</f>
        <v>0.20308180694210859</v>
      </c>
    </row>
    <row r="413" spans="1:12" s="3" customFormat="1">
      <c r="A413" s="35" t="s">
        <v>106</v>
      </c>
      <c r="B413" s="64" t="s">
        <v>34</v>
      </c>
      <c r="C413" s="64" t="s">
        <v>34</v>
      </c>
      <c r="D413" s="36" t="s">
        <v>74</v>
      </c>
      <c r="E413" s="37" t="s">
        <v>34</v>
      </c>
      <c r="F413" s="38"/>
      <c r="G413" s="37"/>
      <c r="H413" s="39"/>
      <c r="I413" s="39"/>
      <c r="J413" s="39"/>
      <c r="K413" s="40">
        <f>SUM(K414:K482)</f>
        <v>985034.90999999957</v>
      </c>
      <c r="L413" s="247">
        <f>SUM(L414:L481)</f>
        <v>9.9177073017762546E-2</v>
      </c>
    </row>
    <row r="414" spans="1:12" s="3" customFormat="1">
      <c r="A414" s="134" t="s">
        <v>1017</v>
      </c>
      <c r="B414" s="206" t="s">
        <v>34</v>
      </c>
      <c r="C414" s="206" t="s">
        <v>34</v>
      </c>
      <c r="D414" s="459" t="s">
        <v>1018</v>
      </c>
      <c r="E414" s="455" t="s">
        <v>34</v>
      </c>
      <c r="F414" s="460"/>
      <c r="G414" s="455" t="s">
        <v>34</v>
      </c>
      <c r="H414" s="456" t="str">
        <f t="shared" ref="H414:H449" si="91">IF(B414="","",F414*G414)</f>
        <v/>
      </c>
      <c r="I414" s="456"/>
      <c r="J414" s="456" t="str">
        <f>IF(E414="","",IF(I414=$G$4,(G414*(1+$H$4)),(G414*(1+$H$5))))</f>
        <v/>
      </c>
      <c r="K414" s="461"/>
      <c r="L414" s="462"/>
    </row>
    <row r="415" spans="1:12" s="3" customFormat="1" ht="255">
      <c r="A415" s="626" t="s">
        <v>1019</v>
      </c>
      <c r="B415" s="626" t="s">
        <v>160</v>
      </c>
      <c r="C415" s="627" t="s">
        <v>1020</v>
      </c>
      <c r="D415" s="654" t="s">
        <v>3041</v>
      </c>
      <c r="E415" s="625" t="s">
        <v>167</v>
      </c>
      <c r="F415" s="195">
        <v>1</v>
      </c>
      <c r="G415" s="191">
        <f>'Composições - CCU'!F3186</f>
        <v>66190.172919999997</v>
      </c>
      <c r="H415" s="192">
        <f t="shared" si="91"/>
        <v>66190.172919999997</v>
      </c>
      <c r="I415" s="192" t="s">
        <v>13</v>
      </c>
      <c r="J415" s="192">
        <f>IF(E415="","",IF(I415=$G$4,(G415*(1+$H$4)),(G415*(1+$H$5))))</f>
        <v>79176.684846903998</v>
      </c>
      <c r="K415" s="192">
        <f>ROUND((IF(C415="","",F415*J415)),2)</f>
        <v>79176.679999999993</v>
      </c>
      <c r="L415" s="250">
        <f t="shared" ref="L415:L421" si="92">IF(C415="","",K415/$K$734)</f>
        <v>7.971810231237407E-3</v>
      </c>
    </row>
    <row r="416" spans="1:12" s="3" customFormat="1">
      <c r="A416" s="626"/>
      <c r="B416" s="626"/>
      <c r="C416" s="627"/>
      <c r="D416" s="654"/>
      <c r="E416" s="625"/>
      <c r="F416" s="655"/>
      <c r="G416" s="191"/>
      <c r="H416" s="192"/>
      <c r="I416" s="622"/>
      <c r="J416" s="192"/>
      <c r="K416" s="192"/>
      <c r="L416" s="250"/>
    </row>
    <row r="417" spans="1:12" s="3" customFormat="1" ht="255">
      <c r="A417" s="626" t="s">
        <v>1022</v>
      </c>
      <c r="B417" s="626" t="s">
        <v>160</v>
      </c>
      <c r="C417" s="627" t="s">
        <v>1023</v>
      </c>
      <c r="D417" s="654" t="s">
        <v>3042</v>
      </c>
      <c r="E417" s="625" t="s">
        <v>167</v>
      </c>
      <c r="F417" s="195">
        <v>1</v>
      </c>
      <c r="G417" s="191">
        <f>'Composições - CCU'!F3244</f>
        <v>35306.87268</v>
      </c>
      <c r="H417" s="192">
        <f t="shared" si="91"/>
        <v>35306.87268</v>
      </c>
      <c r="I417" s="192" t="s">
        <v>13</v>
      </c>
      <c r="J417" s="192">
        <f t="shared" ref="J417:J426" si="93">IF(E417="","",IF(I417=$G$4,(G417*(1+$H$4)),(G417*(1+$H$5))))</f>
        <v>42234.081099816001</v>
      </c>
      <c r="K417" s="192">
        <f t="shared" ref="K417:K426" si="94">ROUND((IF(C417="","",F417*J417)),2)</f>
        <v>42234.080000000002</v>
      </c>
      <c r="L417" s="250">
        <f t="shared" si="92"/>
        <v>4.2522883133126969E-3</v>
      </c>
    </row>
    <row r="418" spans="1:12" s="3" customFormat="1">
      <c r="A418" s="626"/>
      <c r="B418" s="626"/>
      <c r="C418" s="627"/>
      <c r="D418" s="654"/>
      <c r="E418" s="625"/>
      <c r="F418" s="655"/>
      <c r="G418" s="616"/>
      <c r="H418" s="192"/>
      <c r="I418" s="622"/>
      <c r="J418" s="192"/>
      <c r="K418" s="192"/>
      <c r="L418" s="250"/>
    </row>
    <row r="419" spans="1:12" s="3" customFormat="1" ht="285">
      <c r="A419" s="626" t="s">
        <v>1025</v>
      </c>
      <c r="B419" s="626" t="s">
        <v>160</v>
      </c>
      <c r="C419" s="627" t="s">
        <v>1026</v>
      </c>
      <c r="D419" s="654" t="s">
        <v>3043</v>
      </c>
      <c r="E419" s="625" t="s">
        <v>167</v>
      </c>
      <c r="F419" s="195">
        <v>1</v>
      </c>
      <c r="G419" s="191">
        <f>'Composições - CCU'!F3298</f>
        <v>35306.87268</v>
      </c>
      <c r="H419" s="192">
        <f t="shared" si="91"/>
        <v>35306.87268</v>
      </c>
      <c r="I419" s="192" t="s">
        <v>13</v>
      </c>
      <c r="J419" s="192">
        <f t="shared" si="93"/>
        <v>42234.081099816001</v>
      </c>
      <c r="K419" s="192">
        <f t="shared" si="94"/>
        <v>42234.080000000002</v>
      </c>
      <c r="L419" s="250">
        <f t="shared" si="92"/>
        <v>4.2522883133126969E-3</v>
      </c>
    </row>
    <row r="420" spans="1:12" s="3" customFormat="1">
      <c r="A420" s="626"/>
      <c r="B420" s="626"/>
      <c r="C420" s="627"/>
      <c r="D420" s="654"/>
      <c r="E420" s="625"/>
      <c r="F420" s="655"/>
      <c r="G420" s="616"/>
      <c r="H420" s="622"/>
      <c r="I420" s="622"/>
      <c r="J420" s="192"/>
      <c r="K420" s="192"/>
      <c r="L420" s="250"/>
    </row>
    <row r="421" spans="1:12" s="3" customFormat="1" ht="285">
      <c r="A421" s="626" t="s">
        <v>1028</v>
      </c>
      <c r="B421" s="626" t="s">
        <v>160</v>
      </c>
      <c r="C421" s="627" t="s">
        <v>1029</v>
      </c>
      <c r="D421" s="654" t="s">
        <v>3044</v>
      </c>
      <c r="E421" s="625" t="s">
        <v>167</v>
      </c>
      <c r="F421" s="195">
        <v>1</v>
      </c>
      <c r="G421" s="191">
        <f>'Composições - CCU'!F3352</f>
        <v>66190.172919999997</v>
      </c>
      <c r="H421" s="192">
        <f t="shared" si="91"/>
        <v>66190.172919999997</v>
      </c>
      <c r="I421" s="192" t="s">
        <v>13</v>
      </c>
      <c r="J421" s="192">
        <f t="shared" si="93"/>
        <v>79176.684846903998</v>
      </c>
      <c r="K421" s="192">
        <f t="shared" si="94"/>
        <v>79176.679999999993</v>
      </c>
      <c r="L421" s="250">
        <f t="shared" si="92"/>
        <v>7.971810231237407E-3</v>
      </c>
    </row>
    <row r="422" spans="1:12" s="3" customFormat="1">
      <c r="A422" s="626"/>
      <c r="B422" s="626"/>
      <c r="C422" s="627"/>
      <c r="D422" s="654"/>
      <c r="E422" s="625"/>
      <c r="F422" s="195"/>
      <c r="G422" s="191"/>
      <c r="H422" s="192"/>
      <c r="I422" s="192"/>
      <c r="J422" s="192"/>
      <c r="K422" s="192"/>
      <c r="L422" s="250"/>
    </row>
    <row r="423" spans="1:12" s="3" customFormat="1">
      <c r="A423" s="134" t="s">
        <v>1031</v>
      </c>
      <c r="B423" s="206" t="s">
        <v>34</v>
      </c>
      <c r="C423" s="206" t="s">
        <v>34</v>
      </c>
      <c r="D423" s="459" t="s">
        <v>1032</v>
      </c>
      <c r="E423" s="455" t="s">
        <v>34</v>
      </c>
      <c r="F423" s="460"/>
      <c r="G423" s="455" t="s">
        <v>34</v>
      </c>
      <c r="H423" s="456" t="str">
        <f t="shared" si="91"/>
        <v/>
      </c>
      <c r="I423" s="456"/>
      <c r="J423" s="456" t="str">
        <f>IF(E423="","",IF(I423=$G$4,(G423*(1+$H$4)),(G423*(1+$H$5))))</f>
        <v/>
      </c>
      <c r="K423" s="461"/>
      <c r="L423" s="462"/>
    </row>
    <row r="424" spans="1:12" s="3" customFormat="1" ht="60">
      <c r="A424" s="28" t="s">
        <v>1033</v>
      </c>
      <c r="B424" s="28" t="s">
        <v>160</v>
      </c>
      <c r="C424" s="43" t="s">
        <v>1034</v>
      </c>
      <c r="D424" s="193" t="s">
        <v>1035</v>
      </c>
      <c r="E424" s="194" t="s">
        <v>167</v>
      </c>
      <c r="F424" s="195">
        <v>19</v>
      </c>
      <c r="G424" s="191">
        <f>'Composições - CCU'!F3409</f>
        <v>1663.4749999999999</v>
      </c>
      <c r="H424" s="192">
        <f t="shared" si="91"/>
        <v>31606.024999999998</v>
      </c>
      <c r="I424" s="192" t="s">
        <v>12</v>
      </c>
      <c r="J424" s="192">
        <f t="shared" si="93"/>
        <v>2066.03595</v>
      </c>
      <c r="K424" s="192">
        <f t="shared" si="94"/>
        <v>39254.68</v>
      </c>
      <c r="L424" s="250">
        <f>IF(C424="","",K424/$K$734)</f>
        <v>3.952310953780209E-3</v>
      </c>
    </row>
    <row r="425" spans="1:12" s="3" customFormat="1" ht="60">
      <c r="A425" s="28" t="s">
        <v>1036</v>
      </c>
      <c r="B425" s="28" t="s">
        <v>160</v>
      </c>
      <c r="C425" s="43" t="s">
        <v>1037</v>
      </c>
      <c r="D425" s="193" t="s">
        <v>1038</v>
      </c>
      <c r="E425" s="194" t="s">
        <v>167</v>
      </c>
      <c r="F425" s="195">
        <v>90</v>
      </c>
      <c r="G425" s="191">
        <f>'Composições - CCU'!F3433</f>
        <v>1505.3105</v>
      </c>
      <c r="H425" s="192">
        <f t="shared" si="91"/>
        <v>135477.94500000001</v>
      </c>
      <c r="I425" s="192" t="s">
        <v>12</v>
      </c>
      <c r="J425" s="192">
        <f t="shared" si="93"/>
        <v>1869.5956410000001</v>
      </c>
      <c r="K425" s="192">
        <f t="shared" si="94"/>
        <v>168263.61</v>
      </c>
      <c r="L425" s="250">
        <f>IF(C425="","",K425/$K$734)</f>
        <v>1.6941422243808919E-2</v>
      </c>
    </row>
    <row r="426" spans="1:12" s="3" customFormat="1" ht="60">
      <c r="A426" s="28" t="s">
        <v>1039</v>
      </c>
      <c r="B426" s="28" t="s">
        <v>160</v>
      </c>
      <c r="C426" s="43" t="s">
        <v>1040</v>
      </c>
      <c r="D426" s="193" t="s">
        <v>1041</v>
      </c>
      <c r="E426" s="194" t="s">
        <v>167</v>
      </c>
      <c r="F426" s="195">
        <v>7</v>
      </c>
      <c r="G426" s="191">
        <f>'Composições - CCU'!F3457</f>
        <v>2127.194</v>
      </c>
      <c r="H426" s="192">
        <f t="shared" si="91"/>
        <v>14890.358</v>
      </c>
      <c r="I426" s="192" t="s">
        <v>12</v>
      </c>
      <c r="J426" s="192">
        <f t="shared" si="93"/>
        <v>2641.974948</v>
      </c>
      <c r="K426" s="192">
        <f t="shared" si="94"/>
        <v>18493.82</v>
      </c>
      <c r="L426" s="250">
        <f>IF(C426="","",K426/$K$734)</f>
        <v>1.8620283584846319E-3</v>
      </c>
    </row>
    <row r="427" spans="1:12" s="3" customFormat="1">
      <c r="A427" s="134" t="s">
        <v>1042</v>
      </c>
      <c r="B427" s="206" t="s">
        <v>34</v>
      </c>
      <c r="C427" s="206" t="s">
        <v>34</v>
      </c>
      <c r="D427" s="459" t="s">
        <v>1043</v>
      </c>
      <c r="E427" s="455" t="s">
        <v>34</v>
      </c>
      <c r="F427" s="460"/>
      <c r="G427" s="455" t="s">
        <v>34</v>
      </c>
      <c r="H427" s="456" t="str">
        <f t="shared" si="91"/>
        <v/>
      </c>
      <c r="I427" s="456"/>
      <c r="J427" s="456" t="str">
        <f>IF(E427="","",IF(I427=$G$4,(G427*(1+$H$4)),(G427*(1+$H$5))))</f>
        <v/>
      </c>
      <c r="K427" s="461"/>
      <c r="L427" s="462"/>
    </row>
    <row r="428" spans="1:12" s="3" customFormat="1" ht="30">
      <c r="A428" s="28" t="s">
        <v>1044</v>
      </c>
      <c r="B428" s="28" t="s">
        <v>160</v>
      </c>
      <c r="C428" s="43" t="s">
        <v>1045</v>
      </c>
      <c r="D428" s="193" t="s">
        <v>1046</v>
      </c>
      <c r="E428" s="194" t="s">
        <v>167</v>
      </c>
      <c r="F428" s="195">
        <v>12</v>
      </c>
      <c r="G428" s="191">
        <f>'Composições - CCU'!F3481</f>
        <v>1477.5145</v>
      </c>
      <c r="H428" s="192">
        <f t="shared" si="91"/>
        <v>17730.173999999999</v>
      </c>
      <c r="I428" s="192" t="s">
        <v>12</v>
      </c>
      <c r="J428" s="192">
        <f t="shared" ref="J428:J430" si="95">IF(E428="","",IF(I428=$G$4,(G428*(1+$H$4)),(G428*(1+$H$5))))</f>
        <v>1835.073009</v>
      </c>
      <c r="K428" s="192">
        <f t="shared" ref="K428:K430" si="96">ROUND((IF(C428="","",F428*J428)),2)</f>
        <v>22020.880000000001</v>
      </c>
      <c r="L428" s="250">
        <f>IF(C428="","",K428/$K$734)</f>
        <v>2.2171462163461668E-3</v>
      </c>
    </row>
    <row r="429" spans="1:12" s="3" customFormat="1" ht="30">
      <c r="A429" s="28" t="s">
        <v>1047</v>
      </c>
      <c r="B429" s="28" t="s">
        <v>160</v>
      </c>
      <c r="C429" s="43" t="s">
        <v>1048</v>
      </c>
      <c r="D429" s="193" t="s">
        <v>1049</v>
      </c>
      <c r="E429" s="194" t="s">
        <v>167</v>
      </c>
      <c r="F429" s="195">
        <v>54</v>
      </c>
      <c r="G429" s="191">
        <f>'Composições - CCU'!F3504</f>
        <v>1176.3449999999998</v>
      </c>
      <c r="H429" s="192">
        <f t="shared" si="91"/>
        <v>63522.62999999999</v>
      </c>
      <c r="I429" s="192" t="s">
        <v>12</v>
      </c>
      <c r="J429" s="192">
        <f t="shared" si="95"/>
        <v>1461.0204899999997</v>
      </c>
      <c r="K429" s="192">
        <f t="shared" si="96"/>
        <v>78895.11</v>
      </c>
      <c r="L429" s="250">
        <f>IF(C429="","",K429/$K$734)</f>
        <v>7.9434606893418712E-3</v>
      </c>
    </row>
    <row r="430" spans="1:12" s="3" customFormat="1" ht="30">
      <c r="A430" s="28" t="s">
        <v>1050</v>
      </c>
      <c r="B430" s="28" t="s">
        <v>160</v>
      </c>
      <c r="C430" s="43" t="s">
        <v>1051</v>
      </c>
      <c r="D430" s="193" t="s">
        <v>1052</v>
      </c>
      <c r="E430" s="194" t="s">
        <v>167</v>
      </c>
      <c r="F430" s="195">
        <v>103</v>
      </c>
      <c r="G430" s="191">
        <f>'Composições - CCU'!F3527</f>
        <v>951.53000000000009</v>
      </c>
      <c r="H430" s="192">
        <f t="shared" si="91"/>
        <v>98007.590000000011</v>
      </c>
      <c r="I430" s="192" t="s">
        <v>12</v>
      </c>
      <c r="J430" s="192">
        <f t="shared" si="95"/>
        <v>1181.8002600000002</v>
      </c>
      <c r="K430" s="192">
        <f t="shared" si="96"/>
        <v>121725.43</v>
      </c>
      <c r="L430" s="250">
        <f>IF(C430="","",K430/$K$734)</f>
        <v>1.22557807207346E-2</v>
      </c>
    </row>
    <row r="431" spans="1:12" s="3" customFormat="1">
      <c r="A431" s="134" t="s">
        <v>1053</v>
      </c>
      <c r="B431" s="206" t="s">
        <v>34</v>
      </c>
      <c r="C431" s="206" t="s">
        <v>34</v>
      </c>
      <c r="D431" s="459" t="s">
        <v>1054</v>
      </c>
      <c r="E431" s="455" t="s">
        <v>34</v>
      </c>
      <c r="F431" s="460"/>
      <c r="G431" s="455" t="s">
        <v>34</v>
      </c>
      <c r="H431" s="456" t="str">
        <f t="shared" si="91"/>
        <v/>
      </c>
      <c r="I431" s="456"/>
      <c r="J431" s="456" t="str">
        <f>IF(E431="","",IF(I431=$G$4,(G431*(1+$H$4)),(G431*(1+$H$5))))</f>
        <v/>
      </c>
      <c r="K431" s="461"/>
      <c r="L431" s="462"/>
    </row>
    <row r="432" spans="1:12" s="3" customFormat="1" ht="30">
      <c r="A432" s="28" t="s">
        <v>1055</v>
      </c>
      <c r="B432" s="28" t="s">
        <v>160</v>
      </c>
      <c r="C432" s="43" t="s">
        <v>1056</v>
      </c>
      <c r="D432" s="193" t="s">
        <v>1057</v>
      </c>
      <c r="E432" s="194" t="s">
        <v>167</v>
      </c>
      <c r="F432" s="195">
        <v>58</v>
      </c>
      <c r="G432" s="191">
        <f>'Composições - CCU'!F3550</f>
        <v>607.6328125</v>
      </c>
      <c r="H432" s="192">
        <f t="shared" si="91"/>
        <v>35242.703125</v>
      </c>
      <c r="I432" s="192" t="s">
        <v>12</v>
      </c>
      <c r="J432" s="192">
        <f t="shared" ref="J432:J438" si="97">IF(E432="","",IF(I432=$G$4,(G432*(1+$H$4)),(G432*(1+$H$5))))</f>
        <v>754.679953125</v>
      </c>
      <c r="K432" s="192">
        <f t="shared" ref="K432:K438" si="98">ROUND((IF(C432="","",F432*J432)),2)</f>
        <v>43771.44</v>
      </c>
      <c r="L432" s="250">
        <f>IF(C432="","",K432/$K$734)</f>
        <v>4.4070755837197807E-3</v>
      </c>
    </row>
    <row r="433" spans="1:12" s="3" customFormat="1" ht="30">
      <c r="A433" s="28" t="s">
        <v>1058</v>
      </c>
      <c r="B433" s="28" t="s">
        <v>160</v>
      </c>
      <c r="C433" s="43" t="s">
        <v>1059</v>
      </c>
      <c r="D433" s="193" t="s">
        <v>1060</v>
      </c>
      <c r="E433" s="194" t="s">
        <v>167</v>
      </c>
      <c r="F433" s="195">
        <v>26</v>
      </c>
      <c r="G433" s="191">
        <f>'Composições - CCU'!F3573</f>
        <v>471.4983125</v>
      </c>
      <c r="H433" s="192">
        <f t="shared" si="91"/>
        <v>12258.956125000001</v>
      </c>
      <c r="I433" s="192" t="s">
        <v>12</v>
      </c>
      <c r="J433" s="192">
        <f t="shared" si="97"/>
        <v>585.60090412499994</v>
      </c>
      <c r="K433" s="192">
        <f t="shared" si="98"/>
        <v>15225.62</v>
      </c>
      <c r="L433" s="250">
        <f>IF(C433="","",K433/$K$734)</f>
        <v>1.532973513071436E-3</v>
      </c>
    </row>
    <row r="434" spans="1:12" s="3" customFormat="1" ht="30">
      <c r="A434" s="28" t="s">
        <v>1061</v>
      </c>
      <c r="B434" s="28" t="s">
        <v>160</v>
      </c>
      <c r="C434" s="43" t="s">
        <v>1062</v>
      </c>
      <c r="D434" s="193" t="s">
        <v>1063</v>
      </c>
      <c r="E434" s="194" t="s">
        <v>167</v>
      </c>
      <c r="F434" s="195">
        <v>2</v>
      </c>
      <c r="G434" s="191">
        <f>'Composições - CCU'!F3596</f>
        <v>350.26906250000002</v>
      </c>
      <c r="H434" s="192">
        <f t="shared" si="91"/>
        <v>700.53812500000004</v>
      </c>
      <c r="I434" s="192" t="s">
        <v>12</v>
      </c>
      <c r="J434" s="192">
        <f t="shared" si="97"/>
        <v>435.03417562500005</v>
      </c>
      <c r="K434" s="192">
        <f t="shared" si="98"/>
        <v>870.07</v>
      </c>
      <c r="L434" s="250">
        <f>IF(C434="","",K434/$K$734)</f>
        <v>8.7601967244556493E-5</v>
      </c>
    </row>
    <row r="435" spans="1:12" s="3" customFormat="1" ht="30">
      <c r="A435" s="28" t="s">
        <v>1064</v>
      </c>
      <c r="B435" s="28" t="s">
        <v>160</v>
      </c>
      <c r="C435" s="43" t="s">
        <v>1065</v>
      </c>
      <c r="D435" s="193" t="s">
        <v>1066</v>
      </c>
      <c r="E435" s="194" t="s">
        <v>167</v>
      </c>
      <c r="F435" s="195">
        <v>3</v>
      </c>
      <c r="G435" s="191">
        <f>'Composições - CCU'!F3619</f>
        <v>304.57906249999996</v>
      </c>
      <c r="H435" s="192">
        <f t="shared" si="91"/>
        <v>913.73718749999989</v>
      </c>
      <c r="I435" s="192" t="s">
        <v>12</v>
      </c>
      <c r="J435" s="192">
        <f t="shared" si="97"/>
        <v>378.28719562499992</v>
      </c>
      <c r="K435" s="192">
        <f t="shared" si="98"/>
        <v>1134.8599999999999</v>
      </c>
      <c r="L435" s="250">
        <f>IF(C435="","",K435/$K$734)</f>
        <v>1.1426203471807713E-4</v>
      </c>
    </row>
    <row r="436" spans="1:12" s="3" customFormat="1">
      <c r="A436" s="134" t="s">
        <v>1067</v>
      </c>
      <c r="B436" s="206" t="s">
        <v>34</v>
      </c>
      <c r="C436" s="206" t="s">
        <v>34</v>
      </c>
      <c r="D436" s="459" t="s">
        <v>1068</v>
      </c>
      <c r="E436" s="455" t="s">
        <v>34</v>
      </c>
      <c r="F436" s="460"/>
      <c r="G436" s="455" t="s">
        <v>34</v>
      </c>
      <c r="H436" s="456" t="str">
        <f t="shared" si="91"/>
        <v/>
      </c>
      <c r="I436" s="456"/>
      <c r="J436" s="456" t="str">
        <f>IF(E436="","",IF(I436=$G$4,(G436*(1+$H$4)),(G436*(1+$H$5))))</f>
        <v/>
      </c>
      <c r="K436" s="461"/>
      <c r="L436" s="462"/>
    </row>
    <row r="437" spans="1:12" s="3" customFormat="1" ht="30">
      <c r="A437" s="28" t="s">
        <v>1069</v>
      </c>
      <c r="B437" s="28" t="s">
        <v>160</v>
      </c>
      <c r="C437" s="43" t="s">
        <v>1070</v>
      </c>
      <c r="D437" s="193" t="s">
        <v>1071</v>
      </c>
      <c r="E437" s="194" t="s">
        <v>167</v>
      </c>
      <c r="F437" s="195">
        <v>32</v>
      </c>
      <c r="G437" s="191">
        <f>'Composições - CCU'!F3642</f>
        <v>434.78821312499997</v>
      </c>
      <c r="H437" s="192">
        <f t="shared" si="91"/>
        <v>13913.222819999999</v>
      </c>
      <c r="I437" s="192" t="s">
        <v>12</v>
      </c>
      <c r="J437" s="192">
        <f t="shared" si="97"/>
        <v>540.00696070124991</v>
      </c>
      <c r="K437" s="192">
        <f t="shared" si="98"/>
        <v>17280.22</v>
      </c>
      <c r="L437" s="250">
        <f>IF(C437="","",K437/$K$734)</f>
        <v>1.739838480143816E-3</v>
      </c>
    </row>
    <row r="438" spans="1:12" s="3" customFormat="1" ht="30">
      <c r="A438" s="28" t="s">
        <v>1072</v>
      </c>
      <c r="B438" s="28" t="s">
        <v>160</v>
      </c>
      <c r="C438" s="43" t="s">
        <v>1073</v>
      </c>
      <c r="D438" s="193" t="s">
        <v>1074</v>
      </c>
      <c r="E438" s="194" t="s">
        <v>167</v>
      </c>
      <c r="F438" s="195">
        <v>3</v>
      </c>
      <c r="G438" s="191">
        <f>'Composições - CCU'!F3667</f>
        <v>519.30196312499993</v>
      </c>
      <c r="H438" s="192">
        <f t="shared" si="91"/>
        <v>1557.9058893749998</v>
      </c>
      <c r="I438" s="192" t="s">
        <v>12</v>
      </c>
      <c r="J438" s="192">
        <f t="shared" si="97"/>
        <v>644.97303820124989</v>
      </c>
      <c r="K438" s="192">
        <f t="shared" si="98"/>
        <v>1934.92</v>
      </c>
      <c r="L438" s="250">
        <f>IF(C438="","",K438/$K$734)</f>
        <v>1.9481512804813089E-4</v>
      </c>
    </row>
    <row r="439" spans="1:12" s="3" customFormat="1">
      <c r="A439" s="134" t="s">
        <v>1075</v>
      </c>
      <c r="B439" s="206" t="s">
        <v>34</v>
      </c>
      <c r="C439" s="206" t="s">
        <v>34</v>
      </c>
      <c r="D439" s="459" t="s">
        <v>1076</v>
      </c>
      <c r="E439" s="455" t="s">
        <v>34</v>
      </c>
      <c r="F439" s="460"/>
      <c r="G439" s="455" t="s">
        <v>34</v>
      </c>
      <c r="H439" s="456" t="str">
        <f t="shared" si="91"/>
        <v/>
      </c>
      <c r="I439" s="456"/>
      <c r="J439" s="456" t="str">
        <f>IF(E439="","",IF(I439=$G$4,(G439*(1+$H$4)),(G439*(1+$H$5))))</f>
        <v/>
      </c>
      <c r="K439" s="461"/>
      <c r="L439" s="462"/>
    </row>
    <row r="440" spans="1:12" s="3" customFormat="1" ht="45">
      <c r="A440" s="28" t="s">
        <v>1077</v>
      </c>
      <c r="B440" s="28" t="s">
        <v>160</v>
      </c>
      <c r="C440" s="43" t="s">
        <v>1078</v>
      </c>
      <c r="D440" s="193" t="s">
        <v>1079</v>
      </c>
      <c r="E440" s="194" t="s">
        <v>167</v>
      </c>
      <c r="F440" s="195">
        <v>2</v>
      </c>
      <c r="G440" s="191">
        <f>'Composições - CCU'!F3692</f>
        <v>3528.0595999999996</v>
      </c>
      <c r="H440" s="192">
        <f t="shared" si="91"/>
        <v>7056.1191999999992</v>
      </c>
      <c r="I440" s="192" t="s">
        <v>12</v>
      </c>
      <c r="J440" s="192">
        <f t="shared" ref="J440:J446" si="99">IF(E440="","",IF(I440=$G$4,(G440*(1+$H$4)),(G440*(1+$H$5))))</f>
        <v>4381.8500231999997</v>
      </c>
      <c r="K440" s="192">
        <f t="shared" ref="K440:K446" si="100">ROUND((IF(C440="","",F440*J440)),2)</f>
        <v>8763.7000000000007</v>
      </c>
      <c r="L440" s="250">
        <f>IF(C440="","",K440/$K$734)</f>
        <v>8.8236275281427905E-4</v>
      </c>
    </row>
    <row r="441" spans="1:12" s="3" customFormat="1" ht="45">
      <c r="A441" s="28" t="s">
        <v>1080</v>
      </c>
      <c r="B441" s="28" t="s">
        <v>160</v>
      </c>
      <c r="C441" s="43" t="s">
        <v>1081</v>
      </c>
      <c r="D441" s="193" t="s">
        <v>1082</v>
      </c>
      <c r="E441" s="194" t="s">
        <v>167</v>
      </c>
      <c r="F441" s="195">
        <v>2</v>
      </c>
      <c r="G441" s="191">
        <f>'Composições - CCU'!F3715</f>
        <v>4239.7275</v>
      </c>
      <c r="H441" s="192">
        <f t="shared" si="91"/>
        <v>8479.4549999999999</v>
      </c>
      <c r="I441" s="192" t="s">
        <v>12</v>
      </c>
      <c r="J441" s="192">
        <f t="shared" si="99"/>
        <v>5265.7415549999996</v>
      </c>
      <c r="K441" s="192">
        <f t="shared" si="100"/>
        <v>10531.48</v>
      </c>
      <c r="L441" s="250">
        <f>IF(C441="","",K441/$K$734)</f>
        <v>1.060349587960396E-3</v>
      </c>
    </row>
    <row r="442" spans="1:12" s="3" customFormat="1" ht="45">
      <c r="A442" s="28" t="s">
        <v>1083</v>
      </c>
      <c r="B442" s="28" t="s">
        <v>160</v>
      </c>
      <c r="C442" s="43" t="s">
        <v>1084</v>
      </c>
      <c r="D442" s="193" t="s">
        <v>1085</v>
      </c>
      <c r="E442" s="194" t="s">
        <v>167</v>
      </c>
      <c r="F442" s="195">
        <v>3</v>
      </c>
      <c r="G442" s="191">
        <f>'Composições - CCU'!F3738</f>
        <v>3756.683</v>
      </c>
      <c r="H442" s="192">
        <f t="shared" si="91"/>
        <v>11270.048999999999</v>
      </c>
      <c r="I442" s="192" t="s">
        <v>12</v>
      </c>
      <c r="J442" s="192">
        <f t="shared" si="99"/>
        <v>4665.8002859999997</v>
      </c>
      <c r="K442" s="192">
        <f t="shared" si="100"/>
        <v>13997.4</v>
      </c>
      <c r="L442" s="250">
        <f>IF(C442="","",K442/$K$734)</f>
        <v>1.4093116373498167E-3</v>
      </c>
    </row>
    <row r="443" spans="1:12" s="3" customFormat="1" ht="45">
      <c r="A443" s="28" t="s">
        <v>1086</v>
      </c>
      <c r="B443" s="28" t="s">
        <v>160</v>
      </c>
      <c r="C443" s="43" t="s">
        <v>1087</v>
      </c>
      <c r="D443" s="193" t="s">
        <v>1088</v>
      </c>
      <c r="E443" s="194" t="s">
        <v>167</v>
      </c>
      <c r="F443" s="195">
        <v>1</v>
      </c>
      <c r="G443" s="191">
        <f>'Composições - CCU'!F3761</f>
        <v>3002.6732000000002</v>
      </c>
      <c r="H443" s="192">
        <f t="shared" si="91"/>
        <v>3002.6732000000002</v>
      </c>
      <c r="I443" s="192" t="s">
        <v>12</v>
      </c>
      <c r="J443" s="192">
        <f t="shared" si="99"/>
        <v>3729.3201144000004</v>
      </c>
      <c r="K443" s="192">
        <f t="shared" si="100"/>
        <v>3729.32</v>
      </c>
      <c r="L443" s="250">
        <f>IF(C443="","",K443/$K$734)</f>
        <v>3.7548216635956811E-4</v>
      </c>
    </row>
    <row r="444" spans="1:12" s="3" customFormat="1">
      <c r="A444" s="134" t="s">
        <v>1089</v>
      </c>
      <c r="B444" s="206" t="s">
        <v>34</v>
      </c>
      <c r="C444" s="206" t="s">
        <v>34</v>
      </c>
      <c r="D444" s="459" t="s">
        <v>1090</v>
      </c>
      <c r="E444" s="455" t="s">
        <v>34</v>
      </c>
      <c r="F444" s="460"/>
      <c r="G444" s="455" t="s">
        <v>34</v>
      </c>
      <c r="H444" s="456" t="str">
        <f t="shared" si="91"/>
        <v/>
      </c>
      <c r="I444" s="456"/>
      <c r="J444" s="456" t="str">
        <f>IF(E444="","",IF(I444=$G$4,(G444*(1+$H$4)),(G444*(1+$H$5))))</f>
        <v/>
      </c>
      <c r="K444" s="461"/>
      <c r="L444" s="462"/>
    </row>
    <row r="445" spans="1:12" s="3" customFormat="1" ht="30">
      <c r="A445" s="28" t="s">
        <v>1091</v>
      </c>
      <c r="B445" s="28" t="s">
        <v>160</v>
      </c>
      <c r="C445" s="43" t="s">
        <v>1092</v>
      </c>
      <c r="D445" s="193" t="s">
        <v>1093</v>
      </c>
      <c r="E445" s="194" t="s">
        <v>167</v>
      </c>
      <c r="F445" s="195">
        <v>12</v>
      </c>
      <c r="G445" s="191">
        <f>'Composições - CCU'!F3784</f>
        <v>64.569000000000003</v>
      </c>
      <c r="H445" s="192">
        <f t="shared" si="91"/>
        <v>774.82799999999997</v>
      </c>
      <c r="I445" s="192" t="s">
        <v>12</v>
      </c>
      <c r="J445" s="192">
        <f t="shared" si="99"/>
        <v>80.194698000000002</v>
      </c>
      <c r="K445" s="192">
        <f t="shared" si="100"/>
        <v>962.34</v>
      </c>
      <c r="L445" s="250">
        <f>IF(C445="","",K445/$K$734)</f>
        <v>9.6892062889338207E-5</v>
      </c>
    </row>
    <row r="446" spans="1:12" s="3" customFormat="1" ht="30">
      <c r="A446" s="28" t="s">
        <v>1094</v>
      </c>
      <c r="B446" s="28" t="s">
        <v>160</v>
      </c>
      <c r="C446" s="43" t="s">
        <v>1095</v>
      </c>
      <c r="D446" s="193" t="s">
        <v>1096</v>
      </c>
      <c r="E446" s="194" t="s">
        <v>167</v>
      </c>
      <c r="F446" s="195">
        <v>54</v>
      </c>
      <c r="G446" s="191">
        <f>'Composições - CCU'!F3807</f>
        <v>51.869</v>
      </c>
      <c r="H446" s="192">
        <f t="shared" si="91"/>
        <v>2800.9259999999999</v>
      </c>
      <c r="I446" s="192" t="s">
        <v>12</v>
      </c>
      <c r="J446" s="192">
        <f t="shared" si="99"/>
        <v>64.421297999999993</v>
      </c>
      <c r="K446" s="192">
        <f t="shared" si="100"/>
        <v>3478.75</v>
      </c>
      <c r="L446" s="250">
        <f>IF(C446="","",K446/$K$734)</f>
        <v>3.5025382274070003E-4</v>
      </c>
    </row>
    <row r="447" spans="1:12" s="3" customFormat="1" ht="30">
      <c r="A447" s="28" t="s">
        <v>1097</v>
      </c>
      <c r="B447" s="28" t="s">
        <v>160</v>
      </c>
      <c r="C447" s="43" t="s">
        <v>1098</v>
      </c>
      <c r="D447" s="193" t="s">
        <v>1099</v>
      </c>
      <c r="E447" s="194" t="s">
        <v>167</v>
      </c>
      <c r="F447" s="195">
        <v>103</v>
      </c>
      <c r="G447" s="191">
        <f>'Composições - CCU'!F3830</f>
        <v>44.379000000000005</v>
      </c>
      <c r="H447" s="192">
        <f t="shared" si="91"/>
        <v>4571.0370000000003</v>
      </c>
      <c r="I447" s="192" t="s">
        <v>12</v>
      </c>
      <c r="J447" s="192">
        <f t="shared" ref="J447:J461" si="101">IF(E447="","",IF(I447=$G$4,(G447*(1+$H$4)),(G447*(1+$H$5))))</f>
        <v>55.118718000000008</v>
      </c>
      <c r="K447" s="192">
        <f t="shared" ref="K447:K461" si="102">ROUND((IF(C447="","",F447*J447)),2)</f>
        <v>5677.23</v>
      </c>
      <c r="L447" s="250">
        <f>IF(C447="","",K447/$K$734)</f>
        <v>5.716051771694385E-4</v>
      </c>
    </row>
    <row r="448" spans="1:12" s="3" customFormat="1" ht="30">
      <c r="A448" s="28" t="s">
        <v>1100</v>
      </c>
      <c r="B448" s="28" t="s">
        <v>160</v>
      </c>
      <c r="C448" s="43" t="s">
        <v>1101</v>
      </c>
      <c r="D448" s="193" t="s">
        <v>1102</v>
      </c>
      <c r="E448" s="194" t="s">
        <v>167</v>
      </c>
      <c r="F448" s="195">
        <v>1</v>
      </c>
      <c r="G448" s="191">
        <f>'Composições - CCU'!F3853</f>
        <v>39.289000000000001</v>
      </c>
      <c r="H448" s="192">
        <f t="shared" si="91"/>
        <v>39.289000000000001</v>
      </c>
      <c r="I448" s="192" t="s">
        <v>12</v>
      </c>
      <c r="J448" s="192">
        <f t="shared" si="101"/>
        <v>48.796938000000004</v>
      </c>
      <c r="K448" s="192">
        <f t="shared" si="102"/>
        <v>48.8</v>
      </c>
      <c r="L448" s="250">
        <f>IF(C448="","",K448/$K$734)</f>
        <v>4.9133701903690005E-6</v>
      </c>
    </row>
    <row r="449" spans="1:12" s="3" customFormat="1">
      <c r="A449" s="134" t="s">
        <v>1103</v>
      </c>
      <c r="B449" s="206" t="s">
        <v>34</v>
      </c>
      <c r="C449" s="206" t="s">
        <v>34</v>
      </c>
      <c r="D449" s="459" t="s">
        <v>1104</v>
      </c>
      <c r="E449" s="455" t="s">
        <v>34</v>
      </c>
      <c r="F449" s="460"/>
      <c r="G449" s="455" t="s">
        <v>34</v>
      </c>
      <c r="H449" s="456" t="str">
        <f t="shared" si="91"/>
        <v/>
      </c>
      <c r="I449" s="456"/>
      <c r="J449" s="456" t="str">
        <f>IF(E449="","",IF(I449=$G$4,(G449*(1+$H$4)),(G449*(1+$H$5))))</f>
        <v/>
      </c>
      <c r="K449" s="461"/>
      <c r="L449" s="462"/>
    </row>
    <row r="450" spans="1:12" s="3" customFormat="1" ht="30">
      <c r="A450" s="28" t="s">
        <v>1105</v>
      </c>
      <c r="B450" s="28" t="s">
        <v>160</v>
      </c>
      <c r="C450" s="43" t="s">
        <v>1106</v>
      </c>
      <c r="D450" s="193" t="s">
        <v>1107</v>
      </c>
      <c r="E450" s="194" t="s">
        <v>167</v>
      </c>
      <c r="F450" s="195">
        <v>6</v>
      </c>
      <c r="G450" s="191">
        <f>'Composições - CCU'!F3876</f>
        <v>1297.6976697</v>
      </c>
      <c r="H450" s="192">
        <f t="shared" ref="H450:H481" si="103">IF(B450="","",F450*G450)</f>
        <v>7786.1860182</v>
      </c>
      <c r="I450" s="192" t="s">
        <v>12</v>
      </c>
      <c r="J450" s="192">
        <f t="shared" ref="J450" si="104">IF(E450="","",IF(I450=$G$4,(G450*(1+$H$4)),(G450*(1+$H$5))))</f>
        <v>1611.7405057674</v>
      </c>
      <c r="K450" s="192">
        <f t="shared" ref="K450" si="105">ROUND((IF(C450="","",F450*J450)),2)</f>
        <v>9670.44</v>
      </c>
      <c r="L450" s="250">
        <f>IF(C450="","",K450/$K$734)</f>
        <v>9.7365679556868855E-4</v>
      </c>
    </row>
    <row r="451" spans="1:12" s="3" customFormat="1">
      <c r="A451" s="134" t="s">
        <v>1108</v>
      </c>
      <c r="B451" s="206" t="s">
        <v>34</v>
      </c>
      <c r="C451" s="206" t="s">
        <v>34</v>
      </c>
      <c r="D451" s="459" t="s">
        <v>1109</v>
      </c>
      <c r="E451" s="455" t="s">
        <v>34</v>
      </c>
      <c r="F451" s="460"/>
      <c r="G451" s="455" t="s">
        <v>34</v>
      </c>
      <c r="H451" s="456" t="str">
        <f t="shared" si="103"/>
        <v/>
      </c>
      <c r="I451" s="456"/>
      <c r="J451" s="456" t="str">
        <f>IF(E451="","",IF(I451=$G$4,(G451*(1+$H$4)),(G451*(1+$H$5))))</f>
        <v/>
      </c>
      <c r="K451" s="461"/>
      <c r="L451" s="462"/>
    </row>
    <row r="452" spans="1:12" s="3" customFormat="1" ht="30">
      <c r="A452" s="28" t="s">
        <v>1110</v>
      </c>
      <c r="B452" s="28" t="s">
        <v>160</v>
      </c>
      <c r="C452" s="43" t="s">
        <v>1111</v>
      </c>
      <c r="D452" s="193" t="s">
        <v>1112</v>
      </c>
      <c r="E452" s="194" t="s">
        <v>167</v>
      </c>
      <c r="F452" s="195">
        <v>3</v>
      </c>
      <c r="G452" s="191">
        <f>'Composições - CCU'!F3899</f>
        <v>131.8771897</v>
      </c>
      <c r="H452" s="192">
        <f t="shared" si="103"/>
        <v>395.63156909999998</v>
      </c>
      <c r="I452" s="192" t="s">
        <v>12</v>
      </c>
      <c r="J452" s="192">
        <f t="shared" ref="J452" si="106">IF(E452="","",IF(I452=$G$4,(G452*(1+$H$4)),(G452*(1+$H$5))))</f>
        <v>163.79146960739999</v>
      </c>
      <c r="K452" s="192">
        <f t="shared" ref="K452" si="107">ROUND((IF(C452="","",F452*J452)),2)</f>
        <v>491.37</v>
      </c>
      <c r="L452" s="250">
        <f>IF(C452="","",K452/$K$734)</f>
        <v>4.9473006361508527E-5</v>
      </c>
    </row>
    <row r="453" spans="1:12" s="3" customFormat="1">
      <c r="A453" s="134" t="s">
        <v>1113</v>
      </c>
      <c r="B453" s="206" t="s">
        <v>34</v>
      </c>
      <c r="C453" s="206" t="s">
        <v>34</v>
      </c>
      <c r="D453" s="459" t="s">
        <v>1114</v>
      </c>
      <c r="E453" s="455" t="s">
        <v>34</v>
      </c>
      <c r="F453" s="460"/>
      <c r="G453" s="455" t="s">
        <v>34</v>
      </c>
      <c r="H453" s="456" t="str">
        <f t="shared" si="103"/>
        <v/>
      </c>
      <c r="I453" s="456"/>
      <c r="J453" s="456" t="str">
        <f>IF(E453="","",IF(I453=$G$4,(G453*(1+$H$4)),(G453*(1+$H$5))))</f>
        <v/>
      </c>
      <c r="K453" s="461"/>
      <c r="L453" s="462"/>
    </row>
    <row r="454" spans="1:12" s="3" customFormat="1" ht="30">
      <c r="A454" s="28" t="s">
        <v>1115</v>
      </c>
      <c r="B454" s="28" t="s">
        <v>160</v>
      </c>
      <c r="C454" s="43" t="s">
        <v>1116</v>
      </c>
      <c r="D454" s="193" t="s">
        <v>1117</v>
      </c>
      <c r="E454" s="194" t="s">
        <v>167</v>
      </c>
      <c r="F454" s="195">
        <v>46</v>
      </c>
      <c r="G454" s="191">
        <f>'Composições - CCU'!F3922</f>
        <v>534.79281249999997</v>
      </c>
      <c r="H454" s="192">
        <f t="shared" si="103"/>
        <v>24600.469374999997</v>
      </c>
      <c r="I454" s="192" t="s">
        <v>12</v>
      </c>
      <c r="J454" s="192">
        <f t="shared" ref="J454" si="108">IF(E454="","",IF(I454=$G$4,(G454*(1+$H$4)),(G454*(1+$H$5))))</f>
        <v>664.21267312499992</v>
      </c>
      <c r="K454" s="192">
        <f t="shared" ref="K454" si="109">ROUND((IF(C454="","",F454*J454)),2)</f>
        <v>30553.78</v>
      </c>
      <c r="L454" s="250">
        <f t="shared" ref="L454:L481" si="110">IF(C454="","",K454/$K$734)</f>
        <v>3.0762711445715689E-3</v>
      </c>
    </row>
    <row r="455" spans="1:12" s="3" customFormat="1" ht="150">
      <c r="A455" s="626" t="s">
        <v>1118</v>
      </c>
      <c r="B455" s="626" t="s">
        <v>160</v>
      </c>
      <c r="C455" s="627" t="s">
        <v>1119</v>
      </c>
      <c r="D455" s="654" t="s">
        <v>3046</v>
      </c>
      <c r="E455" s="625" t="s">
        <v>167</v>
      </c>
      <c r="F455" s="195">
        <v>1</v>
      </c>
      <c r="G455" s="191">
        <f>'Composições - CCU'!F3945</f>
        <v>10014.8464</v>
      </c>
      <c r="H455" s="192">
        <f t="shared" si="103"/>
        <v>10014.8464</v>
      </c>
      <c r="I455" s="192" t="s">
        <v>13</v>
      </c>
      <c r="J455" s="192">
        <f t="shared" si="101"/>
        <v>11979.75926368</v>
      </c>
      <c r="K455" s="192">
        <f t="shared" si="102"/>
        <v>11979.76</v>
      </c>
      <c r="L455" s="250">
        <f t="shared" si="110"/>
        <v>1.2061679440937489E-3</v>
      </c>
    </row>
    <row r="456" spans="1:12" s="3" customFormat="1">
      <c r="A456" s="28" t="s">
        <v>1121</v>
      </c>
      <c r="B456" s="626"/>
      <c r="C456" s="627"/>
      <c r="D456" s="654"/>
      <c r="E456" s="625"/>
      <c r="F456" s="195"/>
      <c r="G456" s="191"/>
      <c r="H456" s="192"/>
      <c r="I456" s="192"/>
      <c r="J456" s="192"/>
      <c r="K456" s="192"/>
      <c r="L456" s="250"/>
    </row>
    <row r="457" spans="1:12" s="3" customFormat="1" ht="150">
      <c r="A457" s="626" t="s">
        <v>1121</v>
      </c>
      <c r="B457" s="626" t="s">
        <v>160</v>
      </c>
      <c r="C457" s="627" t="s">
        <v>1122</v>
      </c>
      <c r="D457" s="654" t="s">
        <v>3047</v>
      </c>
      <c r="E457" s="625" t="s">
        <v>167</v>
      </c>
      <c r="F457" s="195">
        <v>1</v>
      </c>
      <c r="G457" s="191">
        <f>'Composições - CCU'!F3991</f>
        <v>10285.333499999999</v>
      </c>
      <c r="H457" s="622">
        <f>IF(B457="","",F457*G457)</f>
        <v>10285.333499999999</v>
      </c>
      <c r="I457" s="622" t="s">
        <v>13</v>
      </c>
      <c r="J457" s="622">
        <f>IF(E457="","",IF(I457=$G$4,(G457*(1+$H$4)),(G457*(1+$H$5))))</f>
        <v>12303.315932699998</v>
      </c>
      <c r="K457" s="622">
        <f>ROUND((IF(C457="","",F457*J457)),2)</f>
        <v>12303.32</v>
      </c>
      <c r="L457" s="250">
        <f t="shared" si="110"/>
        <v>1.2387451993969413E-3</v>
      </c>
    </row>
    <row r="458" spans="1:12" s="3" customFormat="1">
      <c r="A458" s="626"/>
      <c r="B458" s="626"/>
      <c r="C458" s="627"/>
      <c r="D458" s="654"/>
      <c r="E458" s="625"/>
      <c r="F458" s="195"/>
      <c r="G458" s="191"/>
      <c r="H458" s="622"/>
      <c r="I458" s="622"/>
      <c r="J458" s="622"/>
      <c r="K458" s="622"/>
      <c r="L458" s="250"/>
    </row>
    <row r="459" spans="1:12" s="3" customFormat="1" ht="150">
      <c r="A459" s="626" t="s">
        <v>1124</v>
      </c>
      <c r="B459" s="626" t="s">
        <v>160</v>
      </c>
      <c r="C459" s="627" t="s">
        <v>1125</v>
      </c>
      <c r="D459" s="654" t="s">
        <v>3048</v>
      </c>
      <c r="E459" s="625" t="s">
        <v>167</v>
      </c>
      <c r="F459" s="195">
        <v>1</v>
      </c>
      <c r="G459" s="191">
        <f>'Composições - CCU'!F4036</f>
        <v>10986.78</v>
      </c>
      <c r="H459" s="192">
        <f t="shared" si="103"/>
        <v>10986.78</v>
      </c>
      <c r="I459" s="192" t="s">
        <v>13</v>
      </c>
      <c r="J459" s="192">
        <f t="shared" si="101"/>
        <v>13142.386236</v>
      </c>
      <c r="K459" s="192">
        <f t="shared" si="102"/>
        <v>13142.39</v>
      </c>
      <c r="L459" s="250">
        <f t="shared" si="110"/>
        <v>1.323225968364829E-3</v>
      </c>
    </row>
    <row r="460" spans="1:12" s="3" customFormat="1">
      <c r="A460" s="626"/>
      <c r="B460" s="626"/>
      <c r="C460" s="627"/>
      <c r="D460" s="654"/>
      <c r="E460" s="625"/>
      <c r="F460" s="195"/>
      <c r="G460" s="191"/>
      <c r="H460" s="192"/>
      <c r="I460" s="192"/>
      <c r="J460" s="192"/>
      <c r="K460" s="192"/>
      <c r="L460" s="250"/>
    </row>
    <row r="461" spans="1:12" s="3" customFormat="1" ht="135">
      <c r="A461" s="626" t="s">
        <v>1127</v>
      </c>
      <c r="B461" s="626" t="s">
        <v>160</v>
      </c>
      <c r="C461" s="627" t="s">
        <v>1128</v>
      </c>
      <c r="D461" s="654" t="s">
        <v>3049</v>
      </c>
      <c r="E461" s="625" t="s">
        <v>167</v>
      </c>
      <c r="F461" s="195">
        <v>1</v>
      </c>
      <c r="G461" s="191">
        <f>'Composições - CCU'!F4080</f>
        <v>6880.72</v>
      </c>
      <c r="H461" s="192">
        <f t="shared" si="103"/>
        <v>6880.72</v>
      </c>
      <c r="I461" s="192" t="s">
        <v>13</v>
      </c>
      <c r="J461" s="192">
        <f t="shared" si="101"/>
        <v>8230.717263999999</v>
      </c>
      <c r="K461" s="192">
        <f t="shared" si="102"/>
        <v>8230.7199999999993</v>
      </c>
      <c r="L461" s="250">
        <f t="shared" si="110"/>
        <v>8.2870029289495778E-4</v>
      </c>
    </row>
    <row r="462" spans="1:12" s="3" customFormat="1">
      <c r="A462" s="626"/>
      <c r="B462" s="626"/>
      <c r="C462" s="627"/>
      <c r="D462" s="654"/>
      <c r="E462" s="625"/>
      <c r="F462" s="195"/>
      <c r="G462" s="191"/>
      <c r="H462" s="192"/>
      <c r="I462" s="192"/>
      <c r="J462" s="192"/>
      <c r="K462" s="192"/>
      <c r="L462" s="250"/>
    </row>
    <row r="463" spans="1:12" s="3" customFormat="1" ht="135">
      <c r="A463" s="626" t="s">
        <v>1130</v>
      </c>
      <c r="B463" s="626" t="s">
        <v>160</v>
      </c>
      <c r="C463" s="627" t="s">
        <v>1131</v>
      </c>
      <c r="D463" s="654" t="s">
        <v>3050</v>
      </c>
      <c r="E463" s="625" t="s">
        <v>167</v>
      </c>
      <c r="F463" s="195">
        <v>1</v>
      </c>
      <c r="G463" s="191">
        <f>'Composições - CCU'!F4126</f>
        <v>7574.6359999999995</v>
      </c>
      <c r="H463" s="192">
        <f t="shared" si="103"/>
        <v>7574.6359999999995</v>
      </c>
      <c r="I463" s="192" t="s">
        <v>13</v>
      </c>
      <c r="J463" s="192">
        <f t="shared" ref="J463:J481" si="111">IF(E463="","",IF(I463=$G$4,(G463*(1+$H$4)),(G463*(1+$H$5))))</f>
        <v>9060.7795831999993</v>
      </c>
      <c r="K463" s="192">
        <f t="shared" ref="K463:K481" si="112">ROUND((IF(C463="","",F463*J463)),2)</f>
        <v>9060.7800000000007</v>
      </c>
      <c r="L463" s="250">
        <f t="shared" si="110"/>
        <v>9.1227390068630409E-4</v>
      </c>
    </row>
    <row r="464" spans="1:12" s="3" customFormat="1">
      <c r="A464" s="626"/>
      <c r="B464" s="626"/>
      <c r="C464" s="627"/>
      <c r="D464" s="654"/>
      <c r="E464" s="625"/>
      <c r="F464" s="195"/>
      <c r="G464" s="191"/>
      <c r="H464" s="192"/>
      <c r="I464" s="192"/>
      <c r="J464" s="192"/>
      <c r="K464" s="192"/>
      <c r="L464" s="250"/>
    </row>
    <row r="465" spans="1:12" s="3" customFormat="1" ht="150">
      <c r="A465" s="626" t="s">
        <v>1133</v>
      </c>
      <c r="B465" s="626" t="s">
        <v>160</v>
      </c>
      <c r="C465" s="627" t="s">
        <v>1134</v>
      </c>
      <c r="D465" s="654" t="s">
        <v>3051</v>
      </c>
      <c r="E465" s="625" t="s">
        <v>167</v>
      </c>
      <c r="F465" s="195">
        <v>1</v>
      </c>
      <c r="G465" s="191">
        <f>'Composições - CCU'!F4171</f>
        <v>8629.17</v>
      </c>
      <c r="H465" s="192">
        <f t="shared" si="103"/>
        <v>8629.17</v>
      </c>
      <c r="I465" s="192" t="s">
        <v>13</v>
      </c>
      <c r="J465" s="192">
        <f t="shared" si="111"/>
        <v>10322.213153999999</v>
      </c>
      <c r="K465" s="192">
        <f t="shared" si="112"/>
        <v>10322.209999999999</v>
      </c>
      <c r="L465" s="250">
        <f t="shared" si="110"/>
        <v>1.0392794859165738E-3</v>
      </c>
    </row>
    <row r="466" spans="1:12" s="3" customFormat="1" ht="12" customHeight="1">
      <c r="A466" s="626"/>
      <c r="B466" s="626"/>
      <c r="C466" s="627"/>
      <c r="D466" s="654"/>
      <c r="E466" s="625"/>
      <c r="F466" s="195"/>
      <c r="G466" s="191"/>
      <c r="H466" s="192"/>
      <c r="I466" s="192"/>
      <c r="J466" s="192"/>
      <c r="K466" s="192"/>
      <c r="L466" s="250"/>
    </row>
    <row r="467" spans="1:12" s="3" customFormat="1" ht="150">
      <c r="A467" s="626" t="s">
        <v>1136</v>
      </c>
      <c r="B467" s="626" t="s">
        <v>160</v>
      </c>
      <c r="C467" s="627" t="s">
        <v>1137</v>
      </c>
      <c r="D467" s="654" t="s">
        <v>3052</v>
      </c>
      <c r="E467" s="625" t="s">
        <v>167</v>
      </c>
      <c r="F467" s="195">
        <v>1</v>
      </c>
      <c r="G467" s="191">
        <f>'Composições - CCU'!F4216</f>
        <v>7031.14</v>
      </c>
      <c r="H467" s="192">
        <f t="shared" si="103"/>
        <v>7031.14</v>
      </c>
      <c r="I467" s="192" t="s">
        <v>13</v>
      </c>
      <c r="J467" s="192">
        <f t="shared" si="111"/>
        <v>8410.649668</v>
      </c>
      <c r="K467" s="192">
        <f t="shared" si="112"/>
        <v>8410.65</v>
      </c>
      <c r="L467" s="250">
        <f t="shared" si="110"/>
        <v>8.4681633179563601E-4</v>
      </c>
    </row>
    <row r="468" spans="1:12" s="3" customFormat="1">
      <c r="A468" s="626"/>
      <c r="B468" s="626"/>
      <c r="C468" s="627"/>
      <c r="D468" s="654"/>
      <c r="E468" s="625"/>
      <c r="F468" s="195"/>
      <c r="G468" s="191"/>
      <c r="H468" s="192"/>
      <c r="I468" s="192"/>
      <c r="J468" s="192"/>
      <c r="K468" s="192"/>
      <c r="L468" s="250"/>
    </row>
    <row r="469" spans="1:12" s="3" customFormat="1" ht="135">
      <c r="A469" s="626" t="s">
        <v>1139</v>
      </c>
      <c r="B469" s="626" t="s">
        <v>160</v>
      </c>
      <c r="C469" s="627" t="s">
        <v>1140</v>
      </c>
      <c r="D469" s="654" t="s">
        <v>3053</v>
      </c>
      <c r="E469" s="625" t="s">
        <v>167</v>
      </c>
      <c r="F469" s="195">
        <v>1</v>
      </c>
      <c r="G469" s="191">
        <f>'Composições - CCU'!F4261</f>
        <v>6166.05</v>
      </c>
      <c r="H469" s="192">
        <f t="shared" si="103"/>
        <v>6166.05</v>
      </c>
      <c r="I469" s="192" t="s">
        <v>13</v>
      </c>
      <c r="J469" s="192">
        <f t="shared" si="111"/>
        <v>7375.8290099999995</v>
      </c>
      <c r="K469" s="192">
        <f t="shared" si="112"/>
        <v>7375.83</v>
      </c>
      <c r="L469" s="250">
        <f t="shared" si="110"/>
        <v>7.4262670596781538E-4</v>
      </c>
    </row>
    <row r="470" spans="1:12" s="3" customFormat="1">
      <c r="A470" s="626"/>
      <c r="B470" s="626"/>
      <c r="C470" s="627"/>
      <c r="D470" s="654"/>
      <c r="E470" s="625"/>
      <c r="F470" s="195"/>
      <c r="G470" s="191"/>
      <c r="H470" s="192"/>
      <c r="I470" s="192"/>
      <c r="J470" s="192"/>
      <c r="K470" s="192"/>
      <c r="L470" s="250"/>
    </row>
    <row r="471" spans="1:12" s="3" customFormat="1" ht="150">
      <c r="A471" s="626" t="s">
        <v>1142</v>
      </c>
      <c r="B471" s="626" t="s">
        <v>160</v>
      </c>
      <c r="C471" s="627" t="s">
        <v>1143</v>
      </c>
      <c r="D471" s="654" t="s">
        <v>3054</v>
      </c>
      <c r="E471" s="625" t="s">
        <v>167</v>
      </c>
      <c r="F471" s="195">
        <v>1</v>
      </c>
      <c r="G471" s="191">
        <f>'Composições - CCU'!F4305</f>
        <v>3742.4639999999999</v>
      </c>
      <c r="H471" s="192">
        <f t="shared" si="103"/>
        <v>3742.4639999999999</v>
      </c>
      <c r="I471" s="192" t="s">
        <v>13</v>
      </c>
      <c r="J471" s="192">
        <f t="shared" si="111"/>
        <v>4476.7354367999997</v>
      </c>
      <c r="K471" s="192">
        <f t="shared" si="112"/>
        <v>4476.74</v>
      </c>
      <c r="L471" s="250">
        <f t="shared" si="110"/>
        <v>4.5073526364820739E-4</v>
      </c>
    </row>
    <row r="472" spans="1:12" s="3" customFormat="1">
      <c r="A472" s="626"/>
      <c r="B472" s="626"/>
      <c r="C472" s="627"/>
      <c r="D472" s="654"/>
      <c r="E472" s="625"/>
      <c r="F472" s="195"/>
      <c r="G472" s="191"/>
      <c r="H472" s="192"/>
      <c r="I472" s="192"/>
      <c r="J472" s="192"/>
      <c r="K472" s="192"/>
      <c r="L472" s="250"/>
    </row>
    <row r="473" spans="1:12" s="3" customFormat="1" ht="135">
      <c r="A473" s="626" t="s">
        <v>1145</v>
      </c>
      <c r="B473" s="626" t="s">
        <v>160</v>
      </c>
      <c r="C473" s="627" t="s">
        <v>1146</v>
      </c>
      <c r="D473" s="654" t="s">
        <v>3055</v>
      </c>
      <c r="E473" s="625" t="s">
        <v>167</v>
      </c>
      <c r="F473" s="195">
        <v>1</v>
      </c>
      <c r="G473" s="191">
        <f>'Composições - CCU'!F4350</f>
        <v>7540.33</v>
      </c>
      <c r="H473" s="192">
        <f t="shared" si="103"/>
        <v>7540.33</v>
      </c>
      <c r="I473" s="192" t="s">
        <v>13</v>
      </c>
      <c r="J473" s="192">
        <f t="shared" si="111"/>
        <v>9019.7427459999999</v>
      </c>
      <c r="K473" s="192">
        <f t="shared" si="112"/>
        <v>9019.74</v>
      </c>
      <c r="L473" s="250">
        <f t="shared" si="110"/>
        <v>9.0814183690325601E-4</v>
      </c>
    </row>
    <row r="474" spans="1:12" s="3" customFormat="1">
      <c r="A474" s="626"/>
      <c r="B474" s="626"/>
      <c r="C474" s="627"/>
      <c r="D474" s="654"/>
      <c r="E474" s="625"/>
      <c r="F474" s="195"/>
      <c r="G474" s="191"/>
      <c r="H474" s="192"/>
      <c r="I474" s="192"/>
      <c r="J474" s="192"/>
      <c r="K474" s="192"/>
      <c r="L474" s="250"/>
    </row>
    <row r="475" spans="1:12" s="3" customFormat="1" ht="150">
      <c r="A475" s="626" t="s">
        <v>1148</v>
      </c>
      <c r="B475" s="626" t="s">
        <v>160</v>
      </c>
      <c r="C475" s="627" t="s">
        <v>1149</v>
      </c>
      <c r="D475" s="654" t="s">
        <v>3056</v>
      </c>
      <c r="E475" s="625" t="s">
        <v>167</v>
      </c>
      <c r="F475" s="195">
        <v>1</v>
      </c>
      <c r="G475" s="191">
        <f>'Composições - CCU'!F4395</f>
        <v>8540.33</v>
      </c>
      <c r="H475" s="192">
        <f t="shared" si="103"/>
        <v>8540.33</v>
      </c>
      <c r="I475" s="192" t="s">
        <v>13</v>
      </c>
      <c r="J475" s="192">
        <f t="shared" si="111"/>
        <v>10215.942745999999</v>
      </c>
      <c r="K475" s="192">
        <f t="shared" si="112"/>
        <v>10215.94</v>
      </c>
      <c r="L475" s="250">
        <f t="shared" si="110"/>
        <v>1.0285798168565225E-3</v>
      </c>
    </row>
    <row r="476" spans="1:12" s="3" customFormat="1">
      <c r="A476" s="626"/>
      <c r="B476" s="626"/>
      <c r="C476" s="627"/>
      <c r="D476" s="654"/>
      <c r="E476" s="625"/>
      <c r="F476" s="195"/>
      <c r="G476" s="191"/>
      <c r="H476" s="192"/>
      <c r="I476" s="192"/>
      <c r="J476" s="192"/>
      <c r="K476" s="192"/>
      <c r="L476" s="250"/>
    </row>
    <row r="477" spans="1:12" s="3" customFormat="1" ht="150">
      <c r="A477" s="626" t="s">
        <v>1151</v>
      </c>
      <c r="B477" s="626" t="s">
        <v>160</v>
      </c>
      <c r="C477" s="627" t="s">
        <v>1152</v>
      </c>
      <c r="D477" s="654" t="s">
        <v>3057</v>
      </c>
      <c r="E477" s="625" t="s">
        <v>167</v>
      </c>
      <c r="F477" s="195">
        <v>1</v>
      </c>
      <c r="G477" s="191">
        <f>'Composições - CCU'!F4440</f>
        <v>5369.39</v>
      </c>
      <c r="H477" s="192">
        <f t="shared" si="103"/>
        <v>5369.39</v>
      </c>
      <c r="I477" s="192" t="s">
        <v>13</v>
      </c>
      <c r="J477" s="192">
        <f t="shared" si="111"/>
        <v>6422.8643179999999</v>
      </c>
      <c r="K477" s="192">
        <f t="shared" si="112"/>
        <v>6422.86</v>
      </c>
      <c r="L477" s="250">
        <f t="shared" si="110"/>
        <v>6.4667805042855405E-4</v>
      </c>
    </row>
    <row r="478" spans="1:12" s="3" customFormat="1">
      <c r="A478" s="626"/>
      <c r="B478" s="626"/>
      <c r="C478" s="627"/>
      <c r="D478" s="654"/>
      <c r="E478" s="625"/>
      <c r="F478" s="195"/>
      <c r="G478" s="191"/>
      <c r="H478" s="192"/>
      <c r="I478" s="192"/>
      <c r="J478" s="192"/>
      <c r="K478" s="192"/>
      <c r="L478" s="250"/>
    </row>
    <row r="479" spans="1:12" s="3" customFormat="1" ht="135">
      <c r="A479" s="626" t="s">
        <v>1154</v>
      </c>
      <c r="B479" s="626" t="s">
        <v>160</v>
      </c>
      <c r="C479" s="627" t="s">
        <v>1155</v>
      </c>
      <c r="D479" s="654" t="s">
        <v>3058</v>
      </c>
      <c r="E479" s="625" t="s">
        <v>167</v>
      </c>
      <c r="F479" s="195">
        <v>1</v>
      </c>
      <c r="G479" s="191">
        <f>'Composições - CCU'!F4484</f>
        <v>6051.32</v>
      </c>
      <c r="H479" s="192">
        <f t="shared" si="103"/>
        <v>6051.32</v>
      </c>
      <c r="I479" s="192" t="s">
        <v>13</v>
      </c>
      <c r="J479" s="192">
        <f t="shared" si="111"/>
        <v>7238.5889839999991</v>
      </c>
      <c r="K479" s="192">
        <f t="shared" si="112"/>
        <v>7238.59</v>
      </c>
      <c r="L479" s="250">
        <f t="shared" si="110"/>
        <v>7.288088591455563E-4</v>
      </c>
    </row>
    <row r="480" spans="1:12" s="3" customFormat="1">
      <c r="A480" s="626"/>
      <c r="B480" s="626"/>
      <c r="C480" s="627"/>
      <c r="D480" s="654"/>
      <c r="E480" s="625"/>
      <c r="F480" s="195"/>
      <c r="G480" s="191"/>
      <c r="H480" s="192"/>
      <c r="I480" s="192"/>
      <c r="J480" s="192"/>
      <c r="K480" s="192"/>
      <c r="L480" s="250"/>
    </row>
    <row r="481" spans="1:12" s="3" customFormat="1" ht="135">
      <c r="A481" s="626" t="s">
        <v>1157</v>
      </c>
      <c r="B481" s="626" t="s">
        <v>160</v>
      </c>
      <c r="C481" s="627" t="s">
        <v>1158</v>
      </c>
      <c r="D481" s="654" t="s">
        <v>3059</v>
      </c>
      <c r="E481" s="625" t="s">
        <v>167</v>
      </c>
      <c r="F481" s="195">
        <v>1</v>
      </c>
      <c r="G481" s="191">
        <f>'Composições - CCU'!F4528</f>
        <v>6051.32</v>
      </c>
      <c r="H481" s="192">
        <f t="shared" si="103"/>
        <v>6051.32</v>
      </c>
      <c r="I481" s="192" t="s">
        <v>13</v>
      </c>
      <c r="J481" s="192">
        <f t="shared" si="111"/>
        <v>7238.5889839999991</v>
      </c>
      <c r="K481" s="192">
        <f t="shared" si="112"/>
        <v>7238.59</v>
      </c>
      <c r="L481" s="250">
        <f t="shared" si="110"/>
        <v>7.288088591455563E-4</v>
      </c>
    </row>
    <row r="482" spans="1:12" s="3" customFormat="1">
      <c r="A482" s="626"/>
      <c r="B482" s="626"/>
      <c r="C482" s="627"/>
      <c r="D482" s="654"/>
      <c r="E482" s="625"/>
      <c r="F482" s="195"/>
      <c r="G482" s="191"/>
      <c r="H482" s="192"/>
      <c r="I482" s="192"/>
      <c r="J482" s="192"/>
      <c r="K482" s="192"/>
      <c r="L482" s="250"/>
    </row>
    <row r="483" spans="1:12" s="3" customFormat="1">
      <c r="A483" s="35" t="s">
        <v>107</v>
      </c>
      <c r="B483" s="64" t="s">
        <v>34</v>
      </c>
      <c r="C483" s="64" t="s">
        <v>34</v>
      </c>
      <c r="D483" s="36" t="s">
        <v>108</v>
      </c>
      <c r="E483" s="37" t="s">
        <v>34</v>
      </c>
      <c r="F483" s="38"/>
      <c r="G483" s="37"/>
      <c r="H483" s="39"/>
      <c r="I483" s="39"/>
      <c r="J483" s="39"/>
      <c r="K483" s="40">
        <f>SUM(K484:K485)</f>
        <v>68832.429999999993</v>
      </c>
      <c r="L483" s="247">
        <f>SUM(L484:L485)</f>
        <v>6.9303116740299375E-3</v>
      </c>
    </row>
    <row r="484" spans="1:12" s="3" customFormat="1" ht="45">
      <c r="A484" s="28" t="s">
        <v>1160</v>
      </c>
      <c r="B484" s="28" t="s">
        <v>160</v>
      </c>
      <c r="C484" s="43" t="s">
        <v>1161</v>
      </c>
      <c r="D484" s="193" t="s">
        <v>1162</v>
      </c>
      <c r="E484" s="194" t="s">
        <v>167</v>
      </c>
      <c r="F484" s="195">
        <v>8</v>
      </c>
      <c r="G484" s="191">
        <f>'Composições - CCU'!F4573</f>
        <v>3433.38</v>
      </c>
      <c r="H484" s="192">
        <f>IF(B484="","",F484*G484)</f>
        <v>27467.040000000001</v>
      </c>
      <c r="I484" s="192" t="s">
        <v>12</v>
      </c>
      <c r="J484" s="192">
        <f t="shared" ref="J484" si="113">IF(E484="","",IF(I484=$G$4,(G484*(1+$H$4)),(G484*(1+$H$5))))</f>
        <v>4264.2579599999999</v>
      </c>
      <c r="K484" s="192">
        <f t="shared" ref="K484" si="114">ROUND((IF(C484="","",F484*J484)),2)</f>
        <v>34114.06</v>
      </c>
      <c r="L484" s="250">
        <f>IF(C484="","",K484/$K$734)</f>
        <v>3.4347337187799081E-3</v>
      </c>
    </row>
    <row r="485" spans="1:12" s="3" customFormat="1" ht="45">
      <c r="A485" s="28" t="s">
        <v>1163</v>
      </c>
      <c r="B485" s="28" t="s">
        <v>160</v>
      </c>
      <c r="C485" s="43" t="s">
        <v>1164</v>
      </c>
      <c r="D485" s="193" t="s">
        <v>1165</v>
      </c>
      <c r="E485" s="194" t="s">
        <v>167</v>
      </c>
      <c r="F485" s="195">
        <v>8</v>
      </c>
      <c r="G485" s="191">
        <f>'Composições - CCU'!F4597</f>
        <v>3494.2</v>
      </c>
      <c r="H485" s="192">
        <f>IF(B485="","",F485*G485)</f>
        <v>27953.599999999999</v>
      </c>
      <c r="I485" s="192" t="s">
        <v>12</v>
      </c>
      <c r="J485" s="192">
        <f t="shared" ref="J485" si="115">IF(E485="","",IF(I485=$G$4,(G485*(1+$H$4)),(G485*(1+$H$5))))</f>
        <v>4339.7964000000002</v>
      </c>
      <c r="K485" s="192">
        <f t="shared" ref="K485" si="116">ROUND((IF(C485="","",F485*J485)),2)</f>
        <v>34718.370000000003</v>
      </c>
      <c r="L485" s="250">
        <f>IF(C485="","",K485/$K$734)</f>
        <v>3.4955779552500294E-3</v>
      </c>
    </row>
    <row r="486" spans="1:12" s="3" customFormat="1">
      <c r="A486" s="35" t="s">
        <v>109</v>
      </c>
      <c r="B486" s="64" t="s">
        <v>34</v>
      </c>
      <c r="C486" s="64" t="s">
        <v>34</v>
      </c>
      <c r="D486" s="36" t="s">
        <v>110</v>
      </c>
      <c r="E486" s="37" t="s">
        <v>34</v>
      </c>
      <c r="F486" s="38"/>
      <c r="G486" s="37"/>
      <c r="H486" s="39"/>
      <c r="I486" s="39"/>
      <c r="J486" s="39"/>
      <c r="K486" s="40">
        <f>SUM(K487:K496)</f>
        <v>639583.62999999989</v>
      </c>
      <c r="L486" s="247">
        <f>SUM(L487:L496)</f>
        <v>6.4395720120696637E-2</v>
      </c>
    </row>
    <row r="487" spans="1:12" s="3" customFormat="1">
      <c r="A487" s="134" t="s">
        <v>1166</v>
      </c>
      <c r="B487" s="206" t="s">
        <v>34</v>
      </c>
      <c r="C487" s="206" t="s">
        <v>34</v>
      </c>
      <c r="D487" s="459" t="s">
        <v>1167</v>
      </c>
      <c r="E487" s="455" t="s">
        <v>34</v>
      </c>
      <c r="F487" s="460"/>
      <c r="G487" s="455" t="s">
        <v>34</v>
      </c>
      <c r="H487" s="456" t="str">
        <f t="shared" ref="H487:H496" si="117">IF(B487="","",F487*G487)</f>
        <v/>
      </c>
      <c r="I487" s="456"/>
      <c r="J487" s="456" t="str">
        <f>IF(E487="","",IF(I487=$G$4,(G487*(1+$H$4)),(G487*(1+$H$5))))</f>
        <v/>
      </c>
      <c r="K487" s="461"/>
      <c r="L487" s="462"/>
    </row>
    <row r="488" spans="1:12" s="3" customFormat="1" ht="45">
      <c r="A488" s="28" t="s">
        <v>1168</v>
      </c>
      <c r="B488" s="28" t="s">
        <v>160</v>
      </c>
      <c r="C488" s="43" t="s">
        <v>1169</v>
      </c>
      <c r="D488" s="193" t="s">
        <v>1170</v>
      </c>
      <c r="E488" s="194" t="s">
        <v>1171</v>
      </c>
      <c r="F488" s="195">
        <v>318</v>
      </c>
      <c r="G488" s="191">
        <f>'Composições - CCU'!F4620</f>
        <v>30.404355000000002</v>
      </c>
      <c r="H488" s="192">
        <f t="shared" si="117"/>
        <v>9668.5848900000001</v>
      </c>
      <c r="I488" s="192" t="s">
        <v>12</v>
      </c>
      <c r="J488" s="192">
        <f>IF(E488="","",IF(I488=$G$4,(G488*(1+$H$4)),(G488*(1+$H$5))))</f>
        <v>37.762208910000005</v>
      </c>
      <c r="K488" s="192">
        <f>ROUND((IF(C488="","",F488*J488)),2)</f>
        <v>12008.38</v>
      </c>
      <c r="L488" s="250">
        <f>IF(C488="","",K488/$K$734)</f>
        <v>1.2090495148898218E-3</v>
      </c>
    </row>
    <row r="489" spans="1:12" s="3" customFormat="1" ht="45">
      <c r="A489" s="28" t="s">
        <v>1172</v>
      </c>
      <c r="B489" s="28" t="s">
        <v>160</v>
      </c>
      <c r="C489" s="43" t="s">
        <v>1173</v>
      </c>
      <c r="D489" s="193" t="s">
        <v>1174</v>
      </c>
      <c r="E489" s="194" t="s">
        <v>1171</v>
      </c>
      <c r="F489" s="195">
        <v>3295</v>
      </c>
      <c r="G489" s="191">
        <f>'Composições - CCU'!F4645</f>
        <v>31.817574999999998</v>
      </c>
      <c r="H489" s="192">
        <f t="shared" si="117"/>
        <v>104838.909625</v>
      </c>
      <c r="I489" s="192" t="s">
        <v>12</v>
      </c>
      <c r="J489" s="192">
        <f t="shared" ref="J489:J492" si="118">IF(E489="","",IF(I489=$G$4,(G489*(1+$H$4)),(G489*(1+$H$5))))</f>
        <v>39.517428150000001</v>
      </c>
      <c r="K489" s="192">
        <f t="shared" ref="K489:K492" si="119">ROUND((IF(C489="","",F489*J489)),2)</f>
        <v>130209.93</v>
      </c>
      <c r="L489" s="250">
        <f>IF(C489="","",K489/$K$734)</f>
        <v>1.3110032552295784E-2</v>
      </c>
    </row>
    <row r="490" spans="1:12" s="3" customFormat="1" ht="45">
      <c r="A490" s="28" t="s">
        <v>1175</v>
      </c>
      <c r="B490" s="28" t="s">
        <v>160</v>
      </c>
      <c r="C490" s="43" t="s">
        <v>1176</v>
      </c>
      <c r="D490" s="193" t="s">
        <v>1177</v>
      </c>
      <c r="E490" s="194" t="s">
        <v>1171</v>
      </c>
      <c r="F490" s="195">
        <v>5040</v>
      </c>
      <c r="G490" s="191">
        <f>'Composições - CCU'!F4670</f>
        <v>30.406455000000001</v>
      </c>
      <c r="H490" s="192">
        <f t="shared" si="117"/>
        <v>153248.53320000001</v>
      </c>
      <c r="I490" s="192" t="s">
        <v>12</v>
      </c>
      <c r="J490" s="192">
        <f t="shared" si="118"/>
        <v>37.764817110000003</v>
      </c>
      <c r="K490" s="192">
        <f t="shared" si="119"/>
        <v>190334.68</v>
      </c>
      <c r="L490" s="250">
        <f>IF(C490="","",K490/$K$734)</f>
        <v>1.9163621780848829E-2</v>
      </c>
    </row>
    <row r="491" spans="1:12" s="3" customFormat="1" ht="45">
      <c r="A491" s="28" t="s">
        <v>1178</v>
      </c>
      <c r="B491" s="28" t="s">
        <v>160</v>
      </c>
      <c r="C491" s="43" t="s">
        <v>1179</v>
      </c>
      <c r="D491" s="193" t="s">
        <v>1180</v>
      </c>
      <c r="E491" s="194" t="s">
        <v>1171</v>
      </c>
      <c r="F491" s="195">
        <v>4465</v>
      </c>
      <c r="G491" s="191">
        <f>'Composições - CCU'!F4695</f>
        <v>31.283005000000003</v>
      </c>
      <c r="H491" s="192">
        <f t="shared" si="117"/>
        <v>139678.617325</v>
      </c>
      <c r="I491" s="192" t="s">
        <v>12</v>
      </c>
      <c r="J491" s="192">
        <f t="shared" si="118"/>
        <v>38.853492210000006</v>
      </c>
      <c r="K491" s="192">
        <f t="shared" si="119"/>
        <v>173480.84</v>
      </c>
      <c r="L491" s="250">
        <f>IF(C491="","",K491/$K$734)</f>
        <v>1.7466712865905207E-2</v>
      </c>
    </row>
    <row r="492" spans="1:12" s="3" customFormat="1" ht="30">
      <c r="A492" s="28" t="s">
        <v>1181</v>
      </c>
      <c r="B492" s="28" t="s">
        <v>160</v>
      </c>
      <c r="C492" s="43" t="s">
        <v>1182</v>
      </c>
      <c r="D492" s="193" t="s">
        <v>1183</v>
      </c>
      <c r="E492" s="194" t="s">
        <v>150</v>
      </c>
      <c r="F492" s="195">
        <v>2080</v>
      </c>
      <c r="G492" s="191">
        <f>'Composições - CCU'!F4720</f>
        <v>44.666980333333335</v>
      </c>
      <c r="H492" s="192">
        <f t="shared" si="117"/>
        <v>92907.319093333339</v>
      </c>
      <c r="I492" s="192" t="s">
        <v>12</v>
      </c>
      <c r="J492" s="192">
        <f t="shared" si="118"/>
        <v>55.476389574000002</v>
      </c>
      <c r="K492" s="192">
        <f t="shared" si="119"/>
        <v>115390.89</v>
      </c>
      <c r="L492" s="250">
        <f>IF(C492="","",K492/$K$734)</f>
        <v>1.1617995064880092E-2</v>
      </c>
    </row>
    <row r="493" spans="1:12" s="3" customFormat="1">
      <c r="A493" s="134" t="s">
        <v>1184</v>
      </c>
      <c r="B493" s="206" t="s">
        <v>34</v>
      </c>
      <c r="C493" s="206" t="s">
        <v>34</v>
      </c>
      <c r="D493" s="459" t="s">
        <v>1185</v>
      </c>
      <c r="E493" s="455" t="s">
        <v>34</v>
      </c>
      <c r="F493" s="460"/>
      <c r="G493" s="455" t="s">
        <v>34</v>
      </c>
      <c r="H493" s="456" t="str">
        <f t="shared" si="117"/>
        <v/>
      </c>
      <c r="I493" s="456"/>
      <c r="J493" s="456" t="str">
        <f>IF(E493="","",IF(I493=$G$4,(G493*(1+$H$4)),(G493*(1+$H$5))))</f>
        <v/>
      </c>
      <c r="K493" s="461"/>
      <c r="L493" s="462"/>
    </row>
    <row r="494" spans="1:12" s="3" customFormat="1" ht="60">
      <c r="A494" s="28" t="s">
        <v>1186</v>
      </c>
      <c r="B494" s="28" t="s">
        <v>160</v>
      </c>
      <c r="C494" s="43" t="s">
        <v>1187</v>
      </c>
      <c r="D494" s="193" t="s">
        <v>1188</v>
      </c>
      <c r="E494" s="194" t="s">
        <v>180</v>
      </c>
      <c r="F494" s="195">
        <v>15.6</v>
      </c>
      <c r="G494" s="191">
        <f>'Composições - CCU'!F4744</f>
        <v>88.96546566666666</v>
      </c>
      <c r="H494" s="192">
        <f t="shared" si="117"/>
        <v>1387.8612643999998</v>
      </c>
      <c r="I494" s="192" t="s">
        <v>12</v>
      </c>
      <c r="J494" s="192">
        <f>IF(E494="","",IF(I494=$G$4,(G494*(1+$H$4)),(G494*(1+$H$5))))</f>
        <v>110.495108358</v>
      </c>
      <c r="K494" s="192">
        <f>ROUND((IF(C494="","",F494*J494)),2)</f>
        <v>1723.72</v>
      </c>
      <c r="L494" s="250">
        <f>IF(C494="","",K494/$K$734)</f>
        <v>1.7355070624063226E-4</v>
      </c>
    </row>
    <row r="495" spans="1:12" s="3" customFormat="1" ht="60">
      <c r="A495" s="28" t="s">
        <v>1189</v>
      </c>
      <c r="B495" s="28" t="s">
        <v>160</v>
      </c>
      <c r="C495" s="43" t="s">
        <v>1190</v>
      </c>
      <c r="D495" s="193" t="s">
        <v>1191</v>
      </c>
      <c r="E495" s="194" t="s">
        <v>180</v>
      </c>
      <c r="F495" s="195">
        <v>70.2</v>
      </c>
      <c r="G495" s="191">
        <f>'Composições - CCU'!F4771</f>
        <v>74.011677333333338</v>
      </c>
      <c r="H495" s="192">
        <f t="shared" si="117"/>
        <v>5195.6197488000007</v>
      </c>
      <c r="I495" s="192" t="s">
        <v>12</v>
      </c>
      <c r="J495" s="192">
        <f t="shared" ref="J495:J496" si="120">IF(E495="","",IF(I495=$G$4,(G495*(1+$H$4)),(G495*(1+$H$5))))</f>
        <v>91.922503248000012</v>
      </c>
      <c r="K495" s="192">
        <f t="shared" ref="K495:K496" si="121">ROUND((IF(C495="","",F495*J495)),2)</f>
        <v>6452.96</v>
      </c>
      <c r="L495" s="250">
        <f>IF(C495="","",K495/$K$734)</f>
        <v>6.4970863327138415E-4</v>
      </c>
    </row>
    <row r="496" spans="1:12" s="3" customFormat="1" ht="60">
      <c r="A496" s="28" t="s">
        <v>1192</v>
      </c>
      <c r="B496" s="28" t="s">
        <v>160</v>
      </c>
      <c r="C496" s="43" t="s">
        <v>1193</v>
      </c>
      <c r="D496" s="193" t="s">
        <v>1194</v>
      </c>
      <c r="E496" s="194" t="s">
        <v>180</v>
      </c>
      <c r="F496" s="195">
        <v>133.9</v>
      </c>
      <c r="G496" s="191">
        <f>'Composições - CCU'!F4799</f>
        <v>60.024055666666669</v>
      </c>
      <c r="H496" s="192">
        <f t="shared" si="117"/>
        <v>8037.221053766667</v>
      </c>
      <c r="I496" s="192" t="s">
        <v>12</v>
      </c>
      <c r="J496" s="192">
        <f t="shared" si="120"/>
        <v>74.549877137999999</v>
      </c>
      <c r="K496" s="192">
        <f t="shared" si="121"/>
        <v>9982.23</v>
      </c>
      <c r="L496" s="250">
        <f>IF(C496="","",K496/$K$734)</f>
        <v>1.0050490023649006E-3</v>
      </c>
    </row>
    <row r="497" spans="1:12" s="3" customFormat="1">
      <c r="A497" s="35" t="s">
        <v>111</v>
      </c>
      <c r="B497" s="64" t="s">
        <v>34</v>
      </c>
      <c r="C497" s="64" t="s">
        <v>34</v>
      </c>
      <c r="D497" s="36" t="s">
        <v>112</v>
      </c>
      <c r="E497" s="37" t="s">
        <v>34</v>
      </c>
      <c r="F497" s="38"/>
      <c r="G497" s="37"/>
      <c r="H497" s="39"/>
      <c r="I497" s="39"/>
      <c r="J497" s="39"/>
      <c r="K497" s="40">
        <f>SUM(K498:K498)</f>
        <v>18622.849999999999</v>
      </c>
      <c r="L497" s="247">
        <f>SUM(L498:L498)</f>
        <v>1.8750195911826505E-3</v>
      </c>
    </row>
    <row r="498" spans="1:12" s="3" customFormat="1" ht="75">
      <c r="A498" s="28" t="s">
        <v>1195</v>
      </c>
      <c r="B498" s="28" t="s">
        <v>160</v>
      </c>
      <c r="C498" s="43" t="s">
        <v>1196</v>
      </c>
      <c r="D498" s="193" t="s">
        <v>1197</v>
      </c>
      <c r="E498" s="194" t="s">
        <v>167</v>
      </c>
      <c r="F498" s="195">
        <v>3</v>
      </c>
      <c r="G498" s="191">
        <f>'Composições - CCU'!F4827</f>
        <v>4998.08</v>
      </c>
      <c r="H498" s="192">
        <f>IF(B498="","",F498*G498)</f>
        <v>14994.24</v>
      </c>
      <c r="I498" s="192" t="s">
        <v>12</v>
      </c>
      <c r="J498" s="192">
        <f t="shared" ref="J498" si="122">IF(E498="","",IF(I498=$G$4,(G498*(1+$H$4)),(G498*(1+$H$5))))</f>
        <v>6207.6153599999998</v>
      </c>
      <c r="K498" s="192">
        <f t="shared" ref="K498" si="123">ROUND((IF(C498="","",F498*J498)),2)</f>
        <v>18622.849999999999</v>
      </c>
      <c r="L498" s="250">
        <f>IF(C498="","",K498/$K$734)</f>
        <v>1.8750195911826505E-3</v>
      </c>
    </row>
    <row r="499" spans="1:12" s="3" customFormat="1">
      <c r="A499" s="35" t="s">
        <v>113</v>
      </c>
      <c r="B499" s="64" t="s">
        <v>34</v>
      </c>
      <c r="C499" s="64" t="s">
        <v>34</v>
      </c>
      <c r="D499" s="36" t="s">
        <v>114</v>
      </c>
      <c r="E499" s="37" t="s">
        <v>34</v>
      </c>
      <c r="F499" s="38"/>
      <c r="G499" s="37"/>
      <c r="H499" s="39"/>
      <c r="I499" s="39"/>
      <c r="J499" s="39"/>
      <c r="K499" s="40">
        <f>SUM(K500:K500)</f>
        <v>3275.63</v>
      </c>
      <c r="L499" s="247">
        <f>SUM(L500:L500)</f>
        <v>3.2980292616144286E-4</v>
      </c>
    </row>
    <row r="500" spans="1:12" s="3" customFormat="1" ht="45">
      <c r="A500" s="28" t="s">
        <v>1198</v>
      </c>
      <c r="B500" s="28" t="s">
        <v>160</v>
      </c>
      <c r="C500" s="43" t="s">
        <v>1199</v>
      </c>
      <c r="D500" s="193" t="s">
        <v>1200</v>
      </c>
      <c r="E500" s="194" t="s">
        <v>167</v>
      </c>
      <c r="F500" s="195">
        <v>2</v>
      </c>
      <c r="G500" s="191">
        <f>'Composições - CCU'!F4850</f>
        <v>1318.69</v>
      </c>
      <c r="H500" s="192">
        <f>IF(B500="","",F500*G500)</f>
        <v>2637.38</v>
      </c>
      <c r="I500" s="192" t="s">
        <v>12</v>
      </c>
      <c r="J500" s="192">
        <f t="shared" ref="J500" si="124">IF(E500="","",IF(I500=$G$4,(G500*(1+$H$4)),(G500*(1+$H$5))))</f>
        <v>1637.8129800000002</v>
      </c>
      <c r="K500" s="192">
        <f t="shared" ref="K500" si="125">ROUND((IF(C500="","",F500*J500)),2)</f>
        <v>3275.63</v>
      </c>
      <c r="L500" s="250">
        <f>IF(C500="","",K500/$K$734)</f>
        <v>3.2980292616144286E-4</v>
      </c>
    </row>
    <row r="501" spans="1:12" s="3" customFormat="1">
      <c r="A501" s="35" t="s">
        <v>115</v>
      </c>
      <c r="B501" s="64" t="s">
        <v>34</v>
      </c>
      <c r="C501" s="64" t="s">
        <v>34</v>
      </c>
      <c r="D501" s="36" t="s">
        <v>68</v>
      </c>
      <c r="E501" s="37" t="s">
        <v>34</v>
      </c>
      <c r="F501" s="38"/>
      <c r="G501" s="37"/>
      <c r="H501" s="39"/>
      <c r="I501" s="39"/>
      <c r="J501" s="39"/>
      <c r="K501" s="40">
        <f>SUM(K502:K524)</f>
        <v>301675.89000000007</v>
      </c>
      <c r="L501" s="247">
        <f>SUM(L502:L524)</f>
        <v>3.0373879612275362E-2</v>
      </c>
    </row>
    <row r="502" spans="1:12" s="3" customFormat="1">
      <c r="A502" s="28" t="s">
        <v>1201</v>
      </c>
      <c r="B502" s="28" t="s">
        <v>160</v>
      </c>
      <c r="C502" s="43" t="s">
        <v>1202</v>
      </c>
      <c r="D502" s="193" t="s">
        <v>1203</v>
      </c>
      <c r="E502" s="194" t="s">
        <v>180</v>
      </c>
      <c r="F502" s="195">
        <v>1</v>
      </c>
      <c r="G502" s="191">
        <f>'Composições - CCU'!F5303</f>
        <v>13519.820533</v>
      </c>
      <c r="H502" s="192">
        <f t="shared" ref="H502:H524" si="126">IF(B502="","",F502*G502)</f>
        <v>13519.820533</v>
      </c>
      <c r="I502" s="192" t="s">
        <v>12</v>
      </c>
      <c r="J502" s="192">
        <f t="shared" ref="J502" si="127">IF(E502="","",IF(I502=$G$4,(G502*(1+$H$4)),(G502*(1+$H$5))))</f>
        <v>16791.617101986001</v>
      </c>
      <c r="K502" s="192">
        <f t="shared" ref="K502" si="128">ROUND((IF(C502="","",F502*J502)),2)</f>
        <v>16791.62</v>
      </c>
      <c r="L502" s="250">
        <f t="shared" ref="L502:L524" si="129">IF(C502="","",K502/$K$734)</f>
        <v>1.6906443679509E-3</v>
      </c>
    </row>
    <row r="503" spans="1:12" s="3" customFormat="1">
      <c r="A503" s="28" t="s">
        <v>1204</v>
      </c>
      <c r="B503" s="28" t="s">
        <v>160</v>
      </c>
      <c r="C503" s="43" t="s">
        <v>1205</v>
      </c>
      <c r="D503" s="193" t="s">
        <v>1206</v>
      </c>
      <c r="E503" s="194" t="s">
        <v>180</v>
      </c>
      <c r="F503" s="195">
        <v>1</v>
      </c>
      <c r="G503" s="191">
        <f>'Composições - CCU'!F5326</f>
        <v>14019.820533</v>
      </c>
      <c r="H503" s="192">
        <f t="shared" si="126"/>
        <v>14019.820533</v>
      </c>
      <c r="I503" s="192" t="s">
        <v>12</v>
      </c>
      <c r="J503" s="192">
        <f t="shared" ref="J503:J508" si="130">IF(E503="","",IF(I503=$G$4,(G503*(1+$H$4)),(G503*(1+$H$5))))</f>
        <v>17412.617101986001</v>
      </c>
      <c r="K503" s="192">
        <f t="shared" ref="K503:K508" si="131">ROUND((IF(C503="","",F503*J503)),2)</f>
        <v>17412.62</v>
      </c>
      <c r="L503" s="250">
        <f t="shared" si="129"/>
        <v>1.753169017299653E-3</v>
      </c>
    </row>
    <row r="504" spans="1:12" s="3" customFormat="1">
      <c r="A504" s="28" t="s">
        <v>1207</v>
      </c>
      <c r="B504" s="28" t="s">
        <v>160</v>
      </c>
      <c r="C504" s="43" t="s">
        <v>1208</v>
      </c>
      <c r="D504" s="193" t="s">
        <v>1209</v>
      </c>
      <c r="E504" s="194" t="s">
        <v>180</v>
      </c>
      <c r="F504" s="195">
        <v>1</v>
      </c>
      <c r="G504" s="191">
        <f>'Composições - CCU'!F5349</f>
        <v>14019.820533</v>
      </c>
      <c r="H504" s="192">
        <f t="shared" si="126"/>
        <v>14019.820533</v>
      </c>
      <c r="I504" s="192" t="s">
        <v>12</v>
      </c>
      <c r="J504" s="192">
        <f t="shared" si="130"/>
        <v>17412.617101986001</v>
      </c>
      <c r="K504" s="192">
        <f t="shared" si="131"/>
        <v>17412.62</v>
      </c>
      <c r="L504" s="250">
        <f t="shared" si="129"/>
        <v>1.753169017299653E-3</v>
      </c>
    </row>
    <row r="505" spans="1:12" s="3" customFormat="1">
      <c r="A505" s="28" t="s">
        <v>1210</v>
      </c>
      <c r="B505" s="28" t="s">
        <v>160</v>
      </c>
      <c r="C505" s="43" t="s">
        <v>1211</v>
      </c>
      <c r="D505" s="193" t="s">
        <v>1212</v>
      </c>
      <c r="E505" s="194" t="s">
        <v>180</v>
      </c>
      <c r="F505" s="195">
        <v>1</v>
      </c>
      <c r="G505" s="191">
        <f>'Composições - CCU'!F5372</f>
        <v>18919.820533000002</v>
      </c>
      <c r="H505" s="192">
        <f t="shared" si="126"/>
        <v>18919.820533000002</v>
      </c>
      <c r="I505" s="192" t="s">
        <v>12</v>
      </c>
      <c r="J505" s="192">
        <f t="shared" si="130"/>
        <v>23498.417101986</v>
      </c>
      <c r="K505" s="192">
        <f t="shared" si="131"/>
        <v>23498.42</v>
      </c>
      <c r="L505" s="250">
        <f t="shared" si="129"/>
        <v>2.3659105809174328E-3</v>
      </c>
    </row>
    <row r="506" spans="1:12" s="3" customFormat="1">
      <c r="A506" s="28" t="s">
        <v>1213</v>
      </c>
      <c r="B506" s="28" t="s">
        <v>160</v>
      </c>
      <c r="C506" s="43" t="s">
        <v>1214</v>
      </c>
      <c r="D506" s="193" t="s">
        <v>1215</v>
      </c>
      <c r="E506" s="194" t="s">
        <v>180</v>
      </c>
      <c r="F506" s="195">
        <v>1</v>
      </c>
      <c r="G506" s="191">
        <f>'Composições - CCU'!F5395</f>
        <v>20869.820533000002</v>
      </c>
      <c r="H506" s="192">
        <f t="shared" si="126"/>
        <v>20869.820533000002</v>
      </c>
      <c r="I506" s="192" t="s">
        <v>12</v>
      </c>
      <c r="J506" s="192">
        <f t="shared" si="130"/>
        <v>25920.317101986002</v>
      </c>
      <c r="K506" s="192">
        <f t="shared" si="131"/>
        <v>25920.32</v>
      </c>
      <c r="L506" s="250">
        <f t="shared" si="129"/>
        <v>2.6097567133775701E-3</v>
      </c>
    </row>
    <row r="507" spans="1:12" s="3" customFormat="1">
      <c r="A507" s="28" t="s">
        <v>1216</v>
      </c>
      <c r="B507" s="28" t="s">
        <v>160</v>
      </c>
      <c r="C507" s="43" t="s">
        <v>1217</v>
      </c>
      <c r="D507" s="193" t="s">
        <v>1218</v>
      </c>
      <c r="E507" s="194" t="s">
        <v>180</v>
      </c>
      <c r="F507" s="195">
        <v>1</v>
      </c>
      <c r="G507" s="191">
        <f>'Composições - CCU'!F5418</f>
        <v>18919.820533000002</v>
      </c>
      <c r="H507" s="192">
        <f t="shared" si="126"/>
        <v>18919.820533000002</v>
      </c>
      <c r="I507" s="192" t="s">
        <v>12</v>
      </c>
      <c r="J507" s="192">
        <f t="shared" si="130"/>
        <v>23498.417101986</v>
      </c>
      <c r="K507" s="192">
        <f t="shared" si="131"/>
        <v>23498.42</v>
      </c>
      <c r="L507" s="250">
        <f t="shared" si="129"/>
        <v>2.3659105809174328E-3</v>
      </c>
    </row>
    <row r="508" spans="1:12" s="3" customFormat="1">
      <c r="A508" s="28" t="s">
        <v>1219</v>
      </c>
      <c r="B508" s="28" t="s">
        <v>160</v>
      </c>
      <c r="C508" s="43" t="s">
        <v>1220</v>
      </c>
      <c r="D508" s="193" t="s">
        <v>1221</v>
      </c>
      <c r="E508" s="194" t="s">
        <v>180</v>
      </c>
      <c r="F508" s="195">
        <v>554.32000000000005</v>
      </c>
      <c r="G508" s="191">
        <f>'Composições - CCU'!F5441</f>
        <v>5.2733980000000003</v>
      </c>
      <c r="H508" s="192">
        <f t="shared" si="126"/>
        <v>2923.1499793600005</v>
      </c>
      <c r="I508" s="192" t="s">
        <v>12</v>
      </c>
      <c r="J508" s="192">
        <f t="shared" si="130"/>
        <v>6.549560316</v>
      </c>
      <c r="K508" s="192">
        <f t="shared" si="131"/>
        <v>3630.55</v>
      </c>
      <c r="L508" s="250">
        <f t="shared" si="129"/>
        <v>3.6553762591483969E-4</v>
      </c>
    </row>
    <row r="509" spans="1:12" s="3" customFormat="1">
      <c r="A509" s="28" t="s">
        <v>1222</v>
      </c>
      <c r="B509" s="28" t="s">
        <v>160</v>
      </c>
      <c r="C509" s="43" t="s">
        <v>1223</v>
      </c>
      <c r="D509" s="193" t="s">
        <v>1224</v>
      </c>
      <c r="E509" s="194" t="s">
        <v>180</v>
      </c>
      <c r="F509" s="195">
        <v>3770</v>
      </c>
      <c r="G509" s="191">
        <f>'Composições - CCU'!F5464</f>
        <v>7.3194820000000007</v>
      </c>
      <c r="H509" s="192">
        <f t="shared" si="126"/>
        <v>27594.447140000004</v>
      </c>
      <c r="I509" s="192" t="s">
        <v>12</v>
      </c>
      <c r="J509" s="192">
        <f t="shared" ref="J509:J520" si="132">IF(E509="","",IF(I509=$G$4,(G509*(1+$H$4)),(G509*(1+$H$5))))</f>
        <v>9.090796644000001</v>
      </c>
      <c r="K509" s="192">
        <f t="shared" ref="K509:K520" si="133">ROUND((IF(C509="","",F509*J509)),2)</f>
        <v>34272.300000000003</v>
      </c>
      <c r="L509" s="250">
        <f t="shared" si="129"/>
        <v>3.4506659257250724E-3</v>
      </c>
    </row>
    <row r="510" spans="1:12" s="3" customFormat="1">
      <c r="A510" s="28" t="s">
        <v>1225</v>
      </c>
      <c r="B510" s="28" t="s">
        <v>3</v>
      </c>
      <c r="C510" s="43" t="s">
        <v>348</v>
      </c>
      <c r="D510" s="193" t="s">
        <v>349</v>
      </c>
      <c r="E510" s="194" t="s">
        <v>163</v>
      </c>
      <c r="F510" s="195">
        <v>349</v>
      </c>
      <c r="G510" s="191">
        <v>75.349999999999994</v>
      </c>
      <c r="H510" s="192">
        <f t="shared" si="126"/>
        <v>26297.149999999998</v>
      </c>
      <c r="I510" s="192" t="s">
        <v>12</v>
      </c>
      <c r="J510" s="192">
        <f t="shared" si="132"/>
        <v>93.584699999999998</v>
      </c>
      <c r="K510" s="192">
        <f t="shared" si="133"/>
        <v>32661.06</v>
      </c>
      <c r="L510" s="250">
        <f t="shared" si="129"/>
        <v>3.2884401350379787E-3</v>
      </c>
    </row>
    <row r="511" spans="1:12" s="3" customFormat="1">
      <c r="A511" s="28" t="s">
        <v>1226</v>
      </c>
      <c r="B511" s="28" t="s">
        <v>3</v>
      </c>
      <c r="C511" s="43" t="s">
        <v>1227</v>
      </c>
      <c r="D511" s="193" t="s">
        <v>1228</v>
      </c>
      <c r="E511" s="194" t="s">
        <v>180</v>
      </c>
      <c r="F511" s="195">
        <v>456.55</v>
      </c>
      <c r="G511" s="191">
        <v>9.2799999999999994</v>
      </c>
      <c r="H511" s="192">
        <f t="shared" si="126"/>
        <v>4236.7839999999997</v>
      </c>
      <c r="I511" s="192" t="s">
        <v>12</v>
      </c>
      <c r="J511" s="192">
        <f t="shared" si="132"/>
        <v>11.52576</v>
      </c>
      <c r="K511" s="192">
        <f t="shared" si="133"/>
        <v>5262.09</v>
      </c>
      <c r="L511" s="250">
        <f t="shared" si="129"/>
        <v>5.2980729805407413E-4</v>
      </c>
    </row>
    <row r="512" spans="1:12" s="3" customFormat="1" ht="30">
      <c r="A512" s="28" t="s">
        <v>1229</v>
      </c>
      <c r="B512" s="28" t="s">
        <v>2</v>
      </c>
      <c r="C512" s="43">
        <v>91939</v>
      </c>
      <c r="D512" s="193" t="s">
        <v>1230</v>
      </c>
      <c r="E512" s="194" t="s">
        <v>167</v>
      </c>
      <c r="F512" s="195">
        <v>118</v>
      </c>
      <c r="G512" s="191">
        <v>30.51</v>
      </c>
      <c r="H512" s="192">
        <f t="shared" si="126"/>
        <v>3600.1800000000003</v>
      </c>
      <c r="I512" s="192" t="s">
        <v>12</v>
      </c>
      <c r="J512" s="192">
        <f t="shared" si="132"/>
        <v>37.893419999999999</v>
      </c>
      <c r="K512" s="192">
        <f t="shared" si="133"/>
        <v>4471.42</v>
      </c>
      <c r="L512" s="250">
        <f t="shared" si="129"/>
        <v>4.5019962575040487E-4</v>
      </c>
    </row>
    <row r="513" spans="1:12" s="3" customFormat="1" ht="30">
      <c r="A513" s="28" t="s">
        <v>1231</v>
      </c>
      <c r="B513" s="28" t="s">
        <v>2</v>
      </c>
      <c r="C513" s="43">
        <v>91871</v>
      </c>
      <c r="D513" s="193" t="s">
        <v>1232</v>
      </c>
      <c r="E513" s="194" t="s">
        <v>180</v>
      </c>
      <c r="F513" s="195">
        <v>162.84</v>
      </c>
      <c r="G513" s="191">
        <v>14.16</v>
      </c>
      <c r="H513" s="192">
        <f t="shared" si="126"/>
        <v>2305.8144000000002</v>
      </c>
      <c r="I513" s="192" t="s">
        <v>12</v>
      </c>
      <c r="J513" s="192">
        <f t="shared" si="132"/>
        <v>17.58672</v>
      </c>
      <c r="K513" s="192">
        <f t="shared" si="133"/>
        <v>2863.82</v>
      </c>
      <c r="L513" s="250">
        <f t="shared" si="129"/>
        <v>2.8834032415128182E-4</v>
      </c>
    </row>
    <row r="514" spans="1:12" s="3" customFormat="1" ht="30">
      <c r="A514" s="28" t="s">
        <v>1233</v>
      </c>
      <c r="B514" s="28" t="s">
        <v>3</v>
      </c>
      <c r="C514" s="43" t="s">
        <v>359</v>
      </c>
      <c r="D514" s="193" t="s">
        <v>907</v>
      </c>
      <c r="E514" s="194" t="s">
        <v>180</v>
      </c>
      <c r="F514" s="195">
        <v>1006.25</v>
      </c>
      <c r="G514" s="191">
        <v>21.59</v>
      </c>
      <c r="H514" s="192">
        <f t="shared" si="126"/>
        <v>21724.9375</v>
      </c>
      <c r="I514" s="192" t="s">
        <v>12</v>
      </c>
      <c r="J514" s="192">
        <f t="shared" si="132"/>
        <v>26.814779999999999</v>
      </c>
      <c r="K514" s="192">
        <f t="shared" si="133"/>
        <v>26982.37</v>
      </c>
      <c r="L514" s="250">
        <f t="shared" si="129"/>
        <v>2.7166879594980905E-3</v>
      </c>
    </row>
    <row r="515" spans="1:12" s="3" customFormat="1">
      <c r="A515" s="28" t="s">
        <v>1234</v>
      </c>
      <c r="B515" s="28" t="s">
        <v>3</v>
      </c>
      <c r="C515" s="43" t="s">
        <v>214</v>
      </c>
      <c r="D515" s="193" t="s">
        <v>365</v>
      </c>
      <c r="E515" s="194" t="s">
        <v>180</v>
      </c>
      <c r="F515" s="195">
        <v>10</v>
      </c>
      <c r="G515" s="191">
        <v>37.58</v>
      </c>
      <c r="H515" s="192">
        <f t="shared" si="126"/>
        <v>375.79999999999995</v>
      </c>
      <c r="I515" s="192" t="s">
        <v>12</v>
      </c>
      <c r="J515" s="192">
        <f t="shared" si="132"/>
        <v>46.67436</v>
      </c>
      <c r="K515" s="192">
        <f t="shared" si="133"/>
        <v>466.74</v>
      </c>
      <c r="L515" s="250">
        <f t="shared" si="129"/>
        <v>4.699316398878745E-5</v>
      </c>
    </row>
    <row r="516" spans="1:12" s="3" customFormat="1" ht="45">
      <c r="A516" s="28" t="s">
        <v>1235</v>
      </c>
      <c r="B516" s="28" t="s">
        <v>3</v>
      </c>
      <c r="C516" s="43" t="s">
        <v>933</v>
      </c>
      <c r="D516" s="193" t="s">
        <v>934</v>
      </c>
      <c r="E516" s="194" t="s">
        <v>180</v>
      </c>
      <c r="F516" s="195">
        <v>155.25</v>
      </c>
      <c r="G516" s="191">
        <v>125.7</v>
      </c>
      <c r="H516" s="192">
        <f t="shared" si="126"/>
        <v>19514.924999999999</v>
      </c>
      <c r="I516" s="192" t="s">
        <v>12</v>
      </c>
      <c r="J516" s="192">
        <f t="shared" si="132"/>
        <v>156.11940000000001</v>
      </c>
      <c r="K516" s="192">
        <f t="shared" si="133"/>
        <v>24237.54</v>
      </c>
      <c r="L516" s="250">
        <f t="shared" si="129"/>
        <v>2.4403280025384485E-3</v>
      </c>
    </row>
    <row r="517" spans="1:12" s="3" customFormat="1" ht="30">
      <c r="A517" s="28" t="s">
        <v>1236</v>
      </c>
      <c r="B517" s="28" t="s">
        <v>3</v>
      </c>
      <c r="C517" s="43" t="s">
        <v>912</v>
      </c>
      <c r="D517" s="193" t="s">
        <v>913</v>
      </c>
      <c r="E517" s="194" t="s">
        <v>167</v>
      </c>
      <c r="F517" s="195">
        <v>384</v>
      </c>
      <c r="G517" s="191">
        <v>31.89</v>
      </c>
      <c r="H517" s="192">
        <f t="shared" si="126"/>
        <v>12245.76</v>
      </c>
      <c r="I517" s="192" t="s">
        <v>12</v>
      </c>
      <c r="J517" s="192">
        <f t="shared" si="132"/>
        <v>39.607379999999999</v>
      </c>
      <c r="K517" s="192">
        <f t="shared" si="133"/>
        <v>15209.23</v>
      </c>
      <c r="L517" s="250">
        <f t="shared" si="129"/>
        <v>1.5313233053374164E-3</v>
      </c>
    </row>
    <row r="518" spans="1:12" s="3" customFormat="1" ht="30">
      <c r="A518" s="28" t="s">
        <v>1237</v>
      </c>
      <c r="B518" s="28" t="s">
        <v>3</v>
      </c>
      <c r="C518" s="43" t="s">
        <v>915</v>
      </c>
      <c r="D518" s="193" t="s">
        <v>916</v>
      </c>
      <c r="E518" s="194" t="s">
        <v>167</v>
      </c>
      <c r="F518" s="195">
        <v>9</v>
      </c>
      <c r="G518" s="191">
        <v>29.97</v>
      </c>
      <c r="H518" s="192">
        <f t="shared" si="126"/>
        <v>269.73</v>
      </c>
      <c r="I518" s="192" t="s">
        <v>12</v>
      </c>
      <c r="J518" s="192">
        <f t="shared" si="132"/>
        <v>37.222740000000002</v>
      </c>
      <c r="K518" s="192">
        <f t="shared" si="133"/>
        <v>335</v>
      </c>
      <c r="L518" s="250">
        <f t="shared" si="129"/>
        <v>3.3729078151098672E-5</v>
      </c>
    </row>
    <row r="519" spans="1:12" s="3" customFormat="1" ht="30">
      <c r="A519" s="28" t="s">
        <v>1238</v>
      </c>
      <c r="B519" s="28" t="s">
        <v>3</v>
      </c>
      <c r="C519" s="43" t="s">
        <v>226</v>
      </c>
      <c r="D519" s="193" t="s">
        <v>227</v>
      </c>
      <c r="E519" s="194" t="s">
        <v>167</v>
      </c>
      <c r="F519" s="195">
        <v>50</v>
      </c>
      <c r="G519" s="191">
        <v>31.89</v>
      </c>
      <c r="H519" s="192">
        <f t="shared" si="126"/>
        <v>1594.5</v>
      </c>
      <c r="I519" s="192" t="s">
        <v>12</v>
      </c>
      <c r="J519" s="192">
        <f t="shared" si="132"/>
        <v>39.607379999999999</v>
      </c>
      <c r="K519" s="192">
        <f t="shared" si="133"/>
        <v>1980.37</v>
      </c>
      <c r="L519" s="250">
        <f t="shared" si="129"/>
        <v>1.9939120745698889E-4</v>
      </c>
    </row>
    <row r="520" spans="1:12" s="3" customFormat="1" ht="30">
      <c r="A520" s="28" t="s">
        <v>1239</v>
      </c>
      <c r="B520" s="28" t="s">
        <v>3</v>
      </c>
      <c r="C520" s="43" t="s">
        <v>229</v>
      </c>
      <c r="D520" s="193" t="s">
        <v>230</v>
      </c>
      <c r="E520" s="194" t="s">
        <v>167</v>
      </c>
      <c r="F520" s="195">
        <v>27</v>
      </c>
      <c r="G520" s="191">
        <v>31.89</v>
      </c>
      <c r="H520" s="192">
        <f t="shared" si="126"/>
        <v>861.03</v>
      </c>
      <c r="I520" s="192" t="s">
        <v>12</v>
      </c>
      <c r="J520" s="192">
        <f t="shared" si="132"/>
        <v>39.607379999999999</v>
      </c>
      <c r="K520" s="192">
        <f t="shared" si="133"/>
        <v>1069.4000000000001</v>
      </c>
      <c r="L520" s="250">
        <f t="shared" si="129"/>
        <v>1.0767127216353709E-4</v>
      </c>
    </row>
    <row r="521" spans="1:12" s="3" customFormat="1" ht="30">
      <c r="A521" s="28" t="s">
        <v>1240</v>
      </c>
      <c r="B521" s="28" t="s">
        <v>3</v>
      </c>
      <c r="C521" s="43" t="s">
        <v>232</v>
      </c>
      <c r="D521" s="193" t="s">
        <v>233</v>
      </c>
      <c r="E521" s="194" t="s">
        <v>167</v>
      </c>
      <c r="F521" s="195">
        <v>133</v>
      </c>
      <c r="G521" s="191">
        <v>33.81</v>
      </c>
      <c r="H521" s="192">
        <f t="shared" si="126"/>
        <v>4496.7300000000005</v>
      </c>
      <c r="I521" s="192" t="s">
        <v>12</v>
      </c>
      <c r="J521" s="192">
        <f t="shared" ref="J521:J524" si="134">IF(E521="","",IF(I521=$G$4,(G521*(1+$H$4)),(G521*(1+$H$5))))</f>
        <v>41.992020000000004</v>
      </c>
      <c r="K521" s="192">
        <f t="shared" ref="K521:K524" si="135">ROUND((IF(C521="","",F521*J521)),2)</f>
        <v>5584.94</v>
      </c>
      <c r="L521" s="250">
        <f t="shared" si="129"/>
        <v>5.6231306784834928E-4</v>
      </c>
    </row>
    <row r="522" spans="1:12" s="3" customFormat="1" ht="30">
      <c r="A522" s="28" t="s">
        <v>1241</v>
      </c>
      <c r="B522" s="28" t="s">
        <v>3</v>
      </c>
      <c r="C522" s="43" t="s">
        <v>924</v>
      </c>
      <c r="D522" s="193" t="s">
        <v>925</v>
      </c>
      <c r="E522" s="194" t="s">
        <v>167</v>
      </c>
      <c r="F522" s="195">
        <v>8</v>
      </c>
      <c r="G522" s="191">
        <v>35.729999999999997</v>
      </c>
      <c r="H522" s="192">
        <f t="shared" si="126"/>
        <v>285.83999999999997</v>
      </c>
      <c r="I522" s="192" t="s">
        <v>12</v>
      </c>
      <c r="J522" s="192">
        <f t="shared" si="134"/>
        <v>44.376659999999994</v>
      </c>
      <c r="K522" s="192">
        <f t="shared" si="135"/>
        <v>355.01</v>
      </c>
      <c r="L522" s="250">
        <f t="shared" si="129"/>
        <v>3.5743761296780715E-5</v>
      </c>
    </row>
    <row r="523" spans="1:12" s="3" customFormat="1">
      <c r="A523" s="28" t="s">
        <v>1242</v>
      </c>
      <c r="B523" s="28" t="s">
        <v>160</v>
      </c>
      <c r="C523" s="43" t="s">
        <v>1243</v>
      </c>
      <c r="D523" s="193" t="s">
        <v>1244</v>
      </c>
      <c r="E523" s="194" t="s">
        <v>167</v>
      </c>
      <c r="F523" s="195">
        <v>464</v>
      </c>
      <c r="G523" s="191">
        <f>'Composições - CCU'!F5487</f>
        <v>23.880205499999999</v>
      </c>
      <c r="H523" s="192">
        <f t="shared" si="126"/>
        <v>11080.415352</v>
      </c>
      <c r="I523" s="192" t="s">
        <v>12</v>
      </c>
      <c r="J523" s="192">
        <f t="shared" si="134"/>
        <v>29.659215230999997</v>
      </c>
      <c r="K523" s="192">
        <f t="shared" si="135"/>
        <v>13761.88</v>
      </c>
      <c r="L523" s="250">
        <f t="shared" si="129"/>
        <v>1.3855985851523637E-3</v>
      </c>
    </row>
    <row r="524" spans="1:12" s="3" customFormat="1">
      <c r="A524" s="28" t="s">
        <v>1245</v>
      </c>
      <c r="B524" s="28" t="s">
        <v>3</v>
      </c>
      <c r="C524" s="43" t="s">
        <v>930</v>
      </c>
      <c r="D524" s="193" t="s">
        <v>931</v>
      </c>
      <c r="E524" s="194" t="s">
        <v>167</v>
      </c>
      <c r="F524" s="195">
        <v>612</v>
      </c>
      <c r="G524" s="191">
        <v>5.26</v>
      </c>
      <c r="H524" s="192">
        <f t="shared" si="126"/>
        <v>3219.12</v>
      </c>
      <c r="I524" s="192" t="s">
        <v>12</v>
      </c>
      <c r="J524" s="192">
        <f t="shared" si="134"/>
        <v>6.5329199999999998</v>
      </c>
      <c r="K524" s="192">
        <f t="shared" si="135"/>
        <v>3998.15</v>
      </c>
      <c r="L524" s="250">
        <f t="shared" si="129"/>
        <v>4.0254899644720944E-4</v>
      </c>
    </row>
    <row r="525" spans="1:12" s="3" customFormat="1">
      <c r="A525" s="43" t="s">
        <v>151</v>
      </c>
      <c r="B525" s="65"/>
      <c r="C525" s="65"/>
      <c r="D525" s="42"/>
      <c r="E525" s="44"/>
      <c r="F525" s="45"/>
      <c r="G525" s="274"/>
      <c r="H525" s="47"/>
      <c r="I525" s="47"/>
      <c r="J525" s="47"/>
      <c r="K525" s="47"/>
      <c r="L525" s="248"/>
    </row>
    <row r="526" spans="1:12" s="3" customFormat="1">
      <c r="A526" s="32" t="s">
        <v>116</v>
      </c>
      <c r="B526" s="32" t="s">
        <v>34</v>
      </c>
      <c r="C526" s="32" t="s">
        <v>34</v>
      </c>
      <c r="D526" s="34" t="s">
        <v>48</v>
      </c>
      <c r="E526" s="33" t="s">
        <v>34</v>
      </c>
      <c r="F526" s="33"/>
      <c r="G526" s="29"/>
      <c r="H526" s="30"/>
      <c r="I526" s="30"/>
      <c r="J526" s="30"/>
      <c r="K526" s="31">
        <f>ROUND((K527+K530),2)</f>
        <v>14025.33</v>
      </c>
      <c r="L526" s="249">
        <f>L527+L530</f>
        <v>1.4121237363132798E-3</v>
      </c>
    </row>
    <row r="527" spans="1:12" s="3" customFormat="1">
      <c r="A527" s="35" t="s">
        <v>117</v>
      </c>
      <c r="B527" s="64" t="s">
        <v>34</v>
      </c>
      <c r="C527" s="64" t="s">
        <v>34</v>
      </c>
      <c r="D527" s="36" t="s">
        <v>50</v>
      </c>
      <c r="E527" s="37" t="s">
        <v>34</v>
      </c>
      <c r="F527" s="38"/>
      <c r="G527" s="37"/>
      <c r="H527" s="39"/>
      <c r="I527" s="39"/>
      <c r="J527" s="39"/>
      <c r="K527" s="40">
        <f>SUM(K528:K529)</f>
        <v>5241.83</v>
      </c>
      <c r="L527" s="247">
        <f>SUM(L528:L529)</f>
        <v>5.2776744395454799E-4</v>
      </c>
    </row>
    <row r="528" spans="1:12" s="3" customFormat="1">
      <c r="A528" s="28" t="s">
        <v>1246</v>
      </c>
      <c r="B528" s="28" t="s">
        <v>160</v>
      </c>
      <c r="C528" s="43" t="s">
        <v>239</v>
      </c>
      <c r="D528" s="193" t="s">
        <v>1247</v>
      </c>
      <c r="E528" s="194" t="s">
        <v>167</v>
      </c>
      <c r="F528" s="195">
        <v>1</v>
      </c>
      <c r="G528" s="191">
        <f>'Composições - CCU'!F5510</f>
        <v>1918.3981818181819</v>
      </c>
      <c r="H528" s="192">
        <f>IF(B528="","",F528*G528)</f>
        <v>1918.3981818181819</v>
      </c>
      <c r="I528" s="192" t="s">
        <v>12</v>
      </c>
      <c r="J528" s="192">
        <f>IF(E528="","",IF(I528=$G$4,(G528*(1+$H$4)),(G528*(1+$H$5))))</f>
        <v>2382.6505418181819</v>
      </c>
      <c r="K528" s="192">
        <f>ROUND((IF(C528="","",F528*J528)),2)</f>
        <v>2382.65</v>
      </c>
      <c r="L528" s="250">
        <f>IF(C528="","",K528/$K$734)</f>
        <v>2.3989429270661271E-4</v>
      </c>
    </row>
    <row r="529" spans="1:13" s="3" customFormat="1">
      <c r="A529" s="28" t="s">
        <v>1248</v>
      </c>
      <c r="B529" s="28" t="s">
        <v>160</v>
      </c>
      <c r="C529" s="43" t="s">
        <v>745</v>
      </c>
      <c r="D529" s="193" t="s">
        <v>1249</v>
      </c>
      <c r="E529" s="194" t="s">
        <v>167</v>
      </c>
      <c r="F529" s="195">
        <v>1</v>
      </c>
      <c r="G529" s="191">
        <f>'Composições - CCU'!F5534</f>
        <v>2302.0778181818182</v>
      </c>
      <c r="H529" s="192">
        <f>IF(B529="","",F529*G529)</f>
        <v>2302.0778181818182</v>
      </c>
      <c r="I529" s="192" t="s">
        <v>12</v>
      </c>
      <c r="J529" s="192">
        <f>IF(E529="","",IF(I529=$G$4,(G529*(1+$H$4)),(G529*(1+$H$5))))</f>
        <v>2859.1806501818182</v>
      </c>
      <c r="K529" s="192">
        <f>ROUND((IF(C529="","",F529*J529)),2)</f>
        <v>2859.18</v>
      </c>
      <c r="L529" s="250">
        <f>IF(C529="","",K529/$K$734)</f>
        <v>2.8787315124793525E-4</v>
      </c>
    </row>
    <row r="530" spans="1:13" s="3" customFormat="1">
      <c r="A530" s="35" t="s">
        <v>118</v>
      </c>
      <c r="B530" s="64" t="s">
        <v>34</v>
      </c>
      <c r="C530" s="64" t="s">
        <v>34</v>
      </c>
      <c r="D530" s="36" t="s">
        <v>82</v>
      </c>
      <c r="E530" s="37" t="s">
        <v>34</v>
      </c>
      <c r="F530" s="38"/>
      <c r="G530" s="37"/>
      <c r="H530" s="39"/>
      <c r="I530" s="39"/>
      <c r="J530" s="39"/>
      <c r="K530" s="40">
        <f>SUM(K531:K531)</f>
        <v>8783.5</v>
      </c>
      <c r="L530" s="247">
        <f>SUM(L531:L531)</f>
        <v>8.8435629235873194E-4</v>
      </c>
    </row>
    <row r="531" spans="1:13" s="3" customFormat="1">
      <c r="A531" s="28" t="s">
        <v>1250</v>
      </c>
      <c r="B531" s="28" t="s">
        <v>160</v>
      </c>
      <c r="C531" s="43" t="s">
        <v>748</v>
      </c>
      <c r="D531" s="193" t="s">
        <v>1251</v>
      </c>
      <c r="E531" s="194" t="s">
        <v>150</v>
      </c>
      <c r="F531" s="195">
        <v>1155</v>
      </c>
      <c r="G531" s="191">
        <f>'Composições - CCU'!F5558</f>
        <v>6.1230000000000002</v>
      </c>
      <c r="H531" s="192">
        <f>IF(B531="","",F531*G531)</f>
        <v>7072.0650000000005</v>
      </c>
      <c r="I531" s="192" t="s">
        <v>12</v>
      </c>
      <c r="J531" s="192">
        <f>IF(E531="","",IF(I531=$G$4,(G531*(1+$H$4)),(G531*(1+$H$5))))</f>
        <v>7.6047660000000006</v>
      </c>
      <c r="K531" s="192">
        <f>ROUND((IF(C531="","",F531*J531)),2)</f>
        <v>8783.5</v>
      </c>
      <c r="L531" s="250">
        <f>IF(C531="","",K531/$K$734)</f>
        <v>8.8435629235873194E-4</v>
      </c>
    </row>
    <row r="532" spans="1:13" s="3" customFormat="1">
      <c r="A532" s="43" t="s">
        <v>151</v>
      </c>
      <c r="B532" s="65"/>
      <c r="C532" s="65"/>
      <c r="D532" s="42"/>
      <c r="E532" s="44"/>
      <c r="F532" s="45"/>
      <c r="G532" s="274"/>
      <c r="H532" s="47"/>
      <c r="I532" s="47"/>
      <c r="J532" s="47"/>
      <c r="K532" s="47"/>
      <c r="L532" s="248"/>
    </row>
    <row r="533" spans="1:13" s="3" customFormat="1" ht="15.75">
      <c r="A533" s="503">
        <v>4</v>
      </c>
      <c r="B533" s="759"/>
      <c r="C533" s="760"/>
      <c r="D533" s="610" t="s">
        <v>2527</v>
      </c>
      <c r="E533" s="610"/>
      <c r="F533" s="610"/>
      <c r="G533" s="503"/>
      <c r="H533" s="507"/>
      <c r="I533" s="507"/>
      <c r="J533" s="507"/>
      <c r="K533" s="31">
        <f>SUM(K534:K543)</f>
        <v>435822.89</v>
      </c>
      <c r="L533" s="249">
        <f>SUM(L534:L543)</f>
        <v>4.3880311393575171E-2</v>
      </c>
      <c r="M533" s="580"/>
    </row>
    <row r="534" spans="1:13" s="3" customFormat="1">
      <c r="A534" s="504" t="s">
        <v>1390</v>
      </c>
      <c r="B534" s="504" t="s">
        <v>2</v>
      </c>
      <c r="C534" s="504">
        <v>96358</v>
      </c>
      <c r="D534" s="505" t="s">
        <v>2528</v>
      </c>
      <c r="E534" s="504" t="s">
        <v>150</v>
      </c>
      <c r="F534" s="504">
        <v>1400</v>
      </c>
      <c r="G534" s="506">
        <v>93.66</v>
      </c>
      <c r="H534" s="192">
        <f t="shared" ref="H534:H543" si="136">IF(C534="","",F534*G534)</f>
        <v>131124</v>
      </c>
      <c r="I534" s="192" t="s">
        <v>12</v>
      </c>
      <c r="J534" s="192">
        <f>IF(E534="","",IF(I534=$G$4,(G534*(1+$H$4)),(G534*(1+$H$5))))</f>
        <v>116.32571999999999</v>
      </c>
      <c r="K534" s="192">
        <f t="shared" ref="K534:K543" si="137">ROUND((IF(B534="","",F534*J534)),2)</f>
        <v>162856.01</v>
      </c>
      <c r="L534" s="250">
        <f t="shared" ref="L534:L543" si="138">IF(C534="","",K534/$K$734)</f>
        <v>1.6396964443779426E-2</v>
      </c>
    </row>
    <row r="535" spans="1:13" s="3" customFormat="1">
      <c r="A535" s="504" t="s">
        <v>1508</v>
      </c>
      <c r="B535" s="504" t="s">
        <v>2</v>
      </c>
      <c r="C535" s="504">
        <v>96359</v>
      </c>
      <c r="D535" s="505" t="s">
        <v>2529</v>
      </c>
      <c r="E535" s="504" t="s">
        <v>150</v>
      </c>
      <c r="F535" s="504">
        <v>100</v>
      </c>
      <c r="G535" s="506">
        <v>104.75</v>
      </c>
      <c r="H535" s="192">
        <f t="shared" si="136"/>
        <v>10475</v>
      </c>
      <c r="I535" s="192" t="s">
        <v>12</v>
      </c>
      <c r="J535" s="192">
        <f t="shared" ref="J535:J543" si="139">IF(E535="","",IF(I535=$G$4,(G535*(1+$H$4)),(G535*(1+$H$5))))</f>
        <v>130.09950000000001</v>
      </c>
      <c r="K535" s="192">
        <f t="shared" si="137"/>
        <v>13009.95</v>
      </c>
      <c r="L535" s="250">
        <f t="shared" si="138"/>
        <v>1.3098914038563768E-3</v>
      </c>
    </row>
    <row r="536" spans="1:13" s="3" customFormat="1">
      <c r="A536" s="504" t="s">
        <v>1548</v>
      </c>
      <c r="B536" s="504" t="s">
        <v>1917</v>
      </c>
      <c r="C536" s="504" t="s">
        <v>2530</v>
      </c>
      <c r="D536" s="505" t="s">
        <v>2531</v>
      </c>
      <c r="E536" s="504" t="s">
        <v>150</v>
      </c>
      <c r="F536" s="504">
        <v>1500</v>
      </c>
      <c r="G536" s="506">
        <v>11.45</v>
      </c>
      <c r="H536" s="192">
        <f t="shared" si="136"/>
        <v>17175</v>
      </c>
      <c r="I536" s="192" t="s">
        <v>12</v>
      </c>
      <c r="J536" s="192">
        <f t="shared" si="139"/>
        <v>14.220899999999999</v>
      </c>
      <c r="K536" s="192">
        <f t="shared" si="137"/>
        <v>21331.35</v>
      </c>
      <c r="L536" s="250">
        <f t="shared" si="138"/>
        <v>2.1477217051296678E-3</v>
      </c>
    </row>
    <row r="537" spans="1:13" s="3" customFormat="1">
      <c r="A537" s="504" t="s">
        <v>2541</v>
      </c>
      <c r="B537" s="504" t="s">
        <v>2</v>
      </c>
      <c r="C537" s="504">
        <v>91317</v>
      </c>
      <c r="D537" s="505" t="s">
        <v>2532</v>
      </c>
      <c r="E537" s="504" t="s">
        <v>167</v>
      </c>
      <c r="F537" s="504">
        <v>24</v>
      </c>
      <c r="G537" s="506">
        <v>1169.92</v>
      </c>
      <c r="H537" s="192">
        <f t="shared" si="136"/>
        <v>28078.080000000002</v>
      </c>
      <c r="I537" s="192" t="s">
        <v>12</v>
      </c>
      <c r="J537" s="192">
        <f t="shared" si="139"/>
        <v>1453.0406400000002</v>
      </c>
      <c r="K537" s="192">
        <f t="shared" si="137"/>
        <v>34872.980000000003</v>
      </c>
      <c r="L537" s="250">
        <f t="shared" si="138"/>
        <v>3.5111446799453768E-3</v>
      </c>
    </row>
    <row r="538" spans="1:13" s="3" customFormat="1" ht="25.5">
      <c r="A538" s="504" t="s">
        <v>2542</v>
      </c>
      <c r="B538" s="504" t="s">
        <v>2</v>
      </c>
      <c r="C538" s="504">
        <v>88495</v>
      </c>
      <c r="D538" s="505" t="s">
        <v>2533</v>
      </c>
      <c r="E538" s="504" t="s">
        <v>150</v>
      </c>
      <c r="F538" s="504">
        <v>3000</v>
      </c>
      <c r="G538" s="506">
        <v>11.76</v>
      </c>
      <c r="H538" s="192">
        <f t="shared" si="136"/>
        <v>35280</v>
      </c>
      <c r="I538" s="192" t="s">
        <v>12</v>
      </c>
      <c r="J538" s="192">
        <f t="shared" si="139"/>
        <v>14.605919999999999</v>
      </c>
      <c r="K538" s="192">
        <f t="shared" si="137"/>
        <v>43817.760000000002</v>
      </c>
      <c r="L538" s="250">
        <f t="shared" si="138"/>
        <v>4.4117392580480166E-3</v>
      </c>
    </row>
    <row r="539" spans="1:13" s="3" customFormat="1">
      <c r="A539" s="504" t="s">
        <v>2543</v>
      </c>
      <c r="B539" s="504" t="s">
        <v>2</v>
      </c>
      <c r="C539" s="504">
        <v>88485</v>
      </c>
      <c r="D539" s="505" t="s">
        <v>2534</v>
      </c>
      <c r="E539" s="504" t="s">
        <v>150</v>
      </c>
      <c r="F539" s="504">
        <v>3000</v>
      </c>
      <c r="G539" s="506">
        <v>4.28</v>
      </c>
      <c r="H539" s="192">
        <f t="shared" si="136"/>
        <v>12840</v>
      </c>
      <c r="I539" s="192" t="s">
        <v>12</v>
      </c>
      <c r="J539" s="192">
        <f t="shared" si="139"/>
        <v>5.31576</v>
      </c>
      <c r="K539" s="192">
        <f t="shared" si="137"/>
        <v>15947.28</v>
      </c>
      <c r="L539" s="250">
        <f t="shared" si="138"/>
        <v>1.6056329952759789E-3</v>
      </c>
    </row>
    <row r="540" spans="1:13" s="3" customFormat="1">
      <c r="A540" s="504" t="s">
        <v>2544</v>
      </c>
      <c r="B540" s="504" t="s">
        <v>2</v>
      </c>
      <c r="C540" s="504">
        <v>88489</v>
      </c>
      <c r="D540" s="505" t="s">
        <v>2535</v>
      </c>
      <c r="E540" s="504" t="s">
        <v>150</v>
      </c>
      <c r="F540" s="504">
        <v>3000</v>
      </c>
      <c r="G540" s="506">
        <v>6.75</v>
      </c>
      <c r="H540" s="192">
        <f t="shared" si="136"/>
        <v>20250</v>
      </c>
      <c r="I540" s="192" t="s">
        <v>12</v>
      </c>
      <c r="J540" s="192">
        <f t="shared" si="139"/>
        <v>8.3834999999999997</v>
      </c>
      <c r="K540" s="192">
        <f t="shared" si="137"/>
        <v>25150.5</v>
      </c>
      <c r="L540" s="250">
        <f t="shared" si="138"/>
        <v>2.5322482986244992E-3</v>
      </c>
    </row>
    <row r="541" spans="1:13" s="3" customFormat="1">
      <c r="A541" s="504" t="s">
        <v>2545</v>
      </c>
      <c r="B541" s="504" t="s">
        <v>2</v>
      </c>
      <c r="C541" s="504">
        <v>98688</v>
      </c>
      <c r="D541" s="505" t="s">
        <v>2536</v>
      </c>
      <c r="E541" s="504" t="s">
        <v>180</v>
      </c>
      <c r="F541" s="504">
        <v>750</v>
      </c>
      <c r="G541" s="506">
        <v>63.9</v>
      </c>
      <c r="H541" s="192">
        <f t="shared" si="136"/>
        <v>47925</v>
      </c>
      <c r="I541" s="192" t="s">
        <v>12</v>
      </c>
      <c r="J541" s="192">
        <f t="shared" si="139"/>
        <v>79.363799999999998</v>
      </c>
      <c r="K541" s="192">
        <f t="shared" si="137"/>
        <v>59522.85</v>
      </c>
      <c r="L541" s="250">
        <f t="shared" si="138"/>
        <v>5.992987640077981E-3</v>
      </c>
    </row>
    <row r="542" spans="1:13" s="3" customFormat="1">
      <c r="A542" s="504" t="s">
        <v>2546</v>
      </c>
      <c r="B542" s="504" t="s">
        <v>1917</v>
      </c>
      <c r="C542" s="504" t="s">
        <v>2537</v>
      </c>
      <c r="D542" s="505" t="s">
        <v>2538</v>
      </c>
      <c r="E542" s="504" t="s">
        <v>150</v>
      </c>
      <c r="F542" s="504">
        <v>896.94</v>
      </c>
      <c r="G542" s="506">
        <v>48.34</v>
      </c>
      <c r="H542" s="192">
        <f t="shared" si="136"/>
        <v>43358.079600000005</v>
      </c>
      <c r="I542" s="192" t="s">
        <v>12</v>
      </c>
      <c r="J542" s="192">
        <f t="shared" si="139"/>
        <v>60.038280000000007</v>
      </c>
      <c r="K542" s="192">
        <f t="shared" si="137"/>
        <v>53850.73</v>
      </c>
      <c r="L542" s="250">
        <f t="shared" si="138"/>
        <v>5.4218969572051162E-3</v>
      </c>
    </row>
    <row r="543" spans="1:13" s="3" customFormat="1">
      <c r="A543" s="504" t="s">
        <v>2547</v>
      </c>
      <c r="B543" s="504" t="s">
        <v>1917</v>
      </c>
      <c r="C543" s="504" t="s">
        <v>2539</v>
      </c>
      <c r="D543" s="505" t="s">
        <v>2540</v>
      </c>
      <c r="E543" s="504" t="s">
        <v>167</v>
      </c>
      <c r="F543" s="504">
        <v>91</v>
      </c>
      <c r="G543" s="506">
        <v>48.34</v>
      </c>
      <c r="H543" s="192">
        <f t="shared" si="136"/>
        <v>4398.9400000000005</v>
      </c>
      <c r="I543" s="192" t="s">
        <v>12</v>
      </c>
      <c r="J543" s="192">
        <f t="shared" si="139"/>
        <v>60.038280000000007</v>
      </c>
      <c r="K543" s="192">
        <f t="shared" si="137"/>
        <v>5463.48</v>
      </c>
      <c r="L543" s="250">
        <f t="shared" si="138"/>
        <v>5.500840116327301E-4</v>
      </c>
    </row>
    <row r="544" spans="1:13" s="3" customFormat="1">
      <c r="A544" s="43"/>
      <c r="C544" s="65"/>
      <c r="D544" s="42"/>
      <c r="E544" s="44"/>
      <c r="F544" s="45"/>
      <c r="G544" s="274"/>
      <c r="H544" s="47"/>
      <c r="I544" s="47"/>
      <c r="J544" s="47"/>
      <c r="K544" s="47"/>
      <c r="L544" s="248"/>
    </row>
    <row r="545" spans="1:12" s="3" customFormat="1" ht="15.75">
      <c r="A545" s="508">
        <v>5</v>
      </c>
      <c r="B545" s="759"/>
      <c r="C545" s="760"/>
      <c r="D545" s="611" t="s">
        <v>2548</v>
      </c>
      <c r="E545" s="611"/>
      <c r="F545" s="611"/>
      <c r="G545" s="509"/>
      <c r="H545" s="509"/>
      <c r="I545" s="509"/>
      <c r="J545" s="509"/>
      <c r="K545" s="31">
        <f>SUM(K546:K568)</f>
        <v>68994.790000000008</v>
      </c>
      <c r="L545" s="249">
        <f>SUM(L546:L568)</f>
        <v>6.9466586982944523E-3</v>
      </c>
    </row>
    <row r="546" spans="1:12" s="3" customFormat="1">
      <c r="A546" s="510" t="s">
        <v>1684</v>
      </c>
      <c r="B546" s="512" t="s">
        <v>4</v>
      </c>
      <c r="C546" s="511" t="s">
        <v>2549</v>
      </c>
      <c r="D546" s="513" t="s">
        <v>2550</v>
      </c>
      <c r="E546" s="512" t="s">
        <v>253</v>
      </c>
      <c r="F546" s="512">
        <v>0.5</v>
      </c>
      <c r="G546" s="514">
        <v>105.9</v>
      </c>
      <c r="H546" s="192">
        <f t="shared" ref="H546:H568" si="140">IF(B546="","",F546*G546)</f>
        <v>52.95</v>
      </c>
      <c r="I546" s="192" t="s">
        <v>12</v>
      </c>
      <c r="J546" s="192">
        <f t="shared" ref="J546:J568" si="141">IF(E546="","",IF(I546=$G$4,(G546*(1+$H$4)),(G546*(1+$H$5))))</f>
        <v>131.52780000000001</v>
      </c>
      <c r="K546" s="192">
        <f t="shared" ref="K546:K568" si="142">ROUND((IF(C546="","",F546*J546)),2)</f>
        <v>65.760000000000005</v>
      </c>
      <c r="L546" s="250">
        <f t="shared" ref="L546:L568" si="143">IF(B546="","",K546/$K$734)</f>
        <v>6.6209676991529822E-6</v>
      </c>
    </row>
    <row r="547" spans="1:12" s="3" customFormat="1">
      <c r="A547" s="510" t="s">
        <v>1690</v>
      </c>
      <c r="B547" s="512" t="s">
        <v>4</v>
      </c>
      <c r="C547" s="511" t="s">
        <v>2551</v>
      </c>
      <c r="D547" s="516" t="s">
        <v>2552</v>
      </c>
      <c r="E547" s="512" t="s">
        <v>253</v>
      </c>
      <c r="F547" s="512">
        <v>0.5</v>
      </c>
      <c r="G547" s="514">
        <v>24.72</v>
      </c>
      <c r="H547" s="192">
        <f t="shared" si="140"/>
        <v>12.36</v>
      </c>
      <c r="I547" s="192" t="s">
        <v>12</v>
      </c>
      <c r="J547" s="192">
        <f t="shared" si="141"/>
        <v>30.70224</v>
      </c>
      <c r="K547" s="192">
        <f t="shared" si="142"/>
        <v>15.35</v>
      </c>
      <c r="L547" s="250">
        <f t="shared" si="143"/>
        <v>1.5454965660279541E-6</v>
      </c>
    </row>
    <row r="548" spans="1:12" s="3" customFormat="1">
      <c r="A548" s="510" t="s">
        <v>1839</v>
      </c>
      <c r="B548" s="512" t="s">
        <v>4</v>
      </c>
      <c r="C548" s="517" t="s">
        <v>2553</v>
      </c>
      <c r="D548" s="518" t="s">
        <v>2554</v>
      </c>
      <c r="E548" s="519" t="s">
        <v>150</v>
      </c>
      <c r="F548" s="519">
        <v>0.5</v>
      </c>
      <c r="G548" s="520">
        <v>27.46</v>
      </c>
      <c r="H548" s="192">
        <f t="shared" si="140"/>
        <v>13.73</v>
      </c>
      <c r="I548" s="192" t="s">
        <v>12</v>
      </c>
      <c r="J548" s="192">
        <f t="shared" si="141"/>
        <v>34.105319999999999</v>
      </c>
      <c r="K548" s="192">
        <f t="shared" si="142"/>
        <v>17.05</v>
      </c>
      <c r="L548" s="250">
        <f t="shared" si="143"/>
        <v>1.7166590521678579E-6</v>
      </c>
    </row>
    <row r="549" spans="1:12" s="3" customFormat="1">
      <c r="A549" s="510" t="s">
        <v>1863</v>
      </c>
      <c r="B549" s="512" t="s">
        <v>4</v>
      </c>
      <c r="C549" s="517" t="s">
        <v>2555</v>
      </c>
      <c r="D549" s="518" t="s">
        <v>2556</v>
      </c>
      <c r="E549" s="519" t="s">
        <v>150</v>
      </c>
      <c r="F549" s="519">
        <v>0.5</v>
      </c>
      <c r="G549" s="520">
        <v>35.96</v>
      </c>
      <c r="H549" s="192">
        <f t="shared" si="140"/>
        <v>17.98</v>
      </c>
      <c r="I549" s="192" t="s">
        <v>12</v>
      </c>
      <c r="J549" s="192">
        <f t="shared" si="141"/>
        <v>44.662320000000001</v>
      </c>
      <c r="K549" s="192">
        <f t="shared" si="142"/>
        <v>22.33</v>
      </c>
      <c r="L549" s="250">
        <f t="shared" si="143"/>
        <v>2.2482695973553234E-6</v>
      </c>
    </row>
    <row r="550" spans="1:12" s="3" customFormat="1">
      <c r="A550" s="510" t="s">
        <v>1865</v>
      </c>
      <c r="B550" s="512" t="s">
        <v>4</v>
      </c>
      <c r="C550" s="511" t="s">
        <v>2557</v>
      </c>
      <c r="D550" s="516" t="s">
        <v>2558</v>
      </c>
      <c r="E550" s="519" t="s">
        <v>167</v>
      </c>
      <c r="F550" s="519">
        <v>40</v>
      </c>
      <c r="G550" s="520">
        <v>1.98</v>
      </c>
      <c r="H550" s="192">
        <f t="shared" si="140"/>
        <v>79.2</v>
      </c>
      <c r="I550" s="192" t="s">
        <v>12</v>
      </c>
      <c r="J550" s="192">
        <f t="shared" si="141"/>
        <v>2.4591599999999998</v>
      </c>
      <c r="K550" s="192">
        <f t="shared" si="142"/>
        <v>98.37</v>
      </c>
      <c r="L550" s="250">
        <f t="shared" si="143"/>
        <v>9.9042669185778406E-6</v>
      </c>
    </row>
    <row r="551" spans="1:12" s="3" customFormat="1">
      <c r="A551" s="510" t="s">
        <v>1867</v>
      </c>
      <c r="B551" s="512" t="s">
        <v>4</v>
      </c>
      <c r="C551" s="511" t="s">
        <v>2559</v>
      </c>
      <c r="D551" s="516" t="s">
        <v>2560</v>
      </c>
      <c r="E551" s="519" t="s">
        <v>167</v>
      </c>
      <c r="F551" s="512">
        <v>122</v>
      </c>
      <c r="G551" s="514">
        <v>14.5</v>
      </c>
      <c r="H551" s="192">
        <f t="shared" si="140"/>
        <v>1769</v>
      </c>
      <c r="I551" s="192" t="s">
        <v>12</v>
      </c>
      <c r="J551" s="192">
        <f t="shared" si="141"/>
        <v>18.009</v>
      </c>
      <c r="K551" s="192">
        <f t="shared" si="142"/>
        <v>2197.1</v>
      </c>
      <c r="L551" s="250">
        <f t="shared" si="143"/>
        <v>2.212124107635191E-4</v>
      </c>
    </row>
    <row r="552" spans="1:12" s="3" customFormat="1">
      <c r="A552" s="510" t="s">
        <v>2594</v>
      </c>
      <c r="B552" s="512" t="s">
        <v>4</v>
      </c>
      <c r="C552" s="517" t="s">
        <v>2561</v>
      </c>
      <c r="D552" s="518" t="s">
        <v>2562</v>
      </c>
      <c r="E552" s="519" t="s">
        <v>167</v>
      </c>
      <c r="F552" s="519">
        <v>80</v>
      </c>
      <c r="G552" s="520">
        <v>4.6100000000000003</v>
      </c>
      <c r="H552" s="192">
        <f t="shared" si="140"/>
        <v>368.8</v>
      </c>
      <c r="I552" s="192" t="s">
        <v>12</v>
      </c>
      <c r="J552" s="192">
        <f t="shared" si="141"/>
        <v>5.7256200000000002</v>
      </c>
      <c r="K552" s="192">
        <f t="shared" si="142"/>
        <v>458.05</v>
      </c>
      <c r="L552" s="250">
        <f t="shared" si="143"/>
        <v>4.6118221633166411E-5</v>
      </c>
    </row>
    <row r="553" spans="1:12" s="3" customFormat="1">
      <c r="A553" s="510" t="s">
        <v>2595</v>
      </c>
      <c r="B553" s="512" t="s">
        <v>4</v>
      </c>
      <c r="C553" s="511" t="s">
        <v>2563</v>
      </c>
      <c r="D553" s="516" t="s">
        <v>2564</v>
      </c>
      <c r="E553" s="512" t="s">
        <v>180</v>
      </c>
      <c r="F553" s="512">
        <v>700</v>
      </c>
      <c r="G553" s="514">
        <v>18.579999999999998</v>
      </c>
      <c r="H553" s="192">
        <f t="shared" si="140"/>
        <v>13005.999999999998</v>
      </c>
      <c r="I553" s="192" t="s">
        <v>12</v>
      </c>
      <c r="J553" s="192">
        <f t="shared" si="141"/>
        <v>23.076359999999998</v>
      </c>
      <c r="K553" s="192">
        <f t="shared" si="142"/>
        <v>16153.45</v>
      </c>
      <c r="L553" s="250">
        <f t="shared" si="143"/>
        <v>1.626390977492134E-3</v>
      </c>
    </row>
    <row r="554" spans="1:12" s="3" customFormat="1">
      <c r="A554" s="510" t="s">
        <v>2596</v>
      </c>
      <c r="B554" s="512" t="s">
        <v>2</v>
      </c>
      <c r="C554" s="16">
        <v>98281</v>
      </c>
      <c r="D554" s="516" t="s">
        <v>2565</v>
      </c>
      <c r="E554" s="512" t="s">
        <v>180</v>
      </c>
      <c r="F554" s="512">
        <v>1890</v>
      </c>
      <c r="G554" s="514">
        <v>8.4700000000000006</v>
      </c>
      <c r="H554" s="192">
        <f t="shared" si="140"/>
        <v>16008.300000000001</v>
      </c>
      <c r="I554" s="192" t="s">
        <v>12</v>
      </c>
      <c r="J554" s="192">
        <f t="shared" si="141"/>
        <v>10.519740000000001</v>
      </c>
      <c r="K554" s="192">
        <f t="shared" si="142"/>
        <v>19882.310000000001</v>
      </c>
      <c r="L554" s="250">
        <f t="shared" si="143"/>
        <v>2.0018268292966292E-3</v>
      </c>
    </row>
    <row r="555" spans="1:12" s="3" customFormat="1">
      <c r="A555" s="510" t="s">
        <v>2597</v>
      </c>
      <c r="B555" s="519" t="s">
        <v>1917</v>
      </c>
      <c r="C555" s="511" t="s">
        <v>2566</v>
      </c>
      <c r="D555" s="521" t="s">
        <v>2567</v>
      </c>
      <c r="E555" s="519" t="s">
        <v>167</v>
      </c>
      <c r="F555" s="512">
        <v>159</v>
      </c>
      <c r="G555" s="514">
        <v>42.95</v>
      </c>
      <c r="H555" s="192">
        <f t="shared" si="140"/>
        <v>6829.05</v>
      </c>
      <c r="I555" s="192" t="s">
        <v>12</v>
      </c>
      <c r="J555" s="192">
        <f t="shared" si="141"/>
        <v>53.343900000000005</v>
      </c>
      <c r="K555" s="192">
        <f t="shared" si="142"/>
        <v>8481.68</v>
      </c>
      <c r="L555" s="250">
        <f t="shared" si="143"/>
        <v>8.5396790320182276E-4</v>
      </c>
    </row>
    <row r="556" spans="1:12" s="3" customFormat="1">
      <c r="A556" s="510" t="s">
        <v>2598</v>
      </c>
      <c r="B556" s="519" t="s">
        <v>1917</v>
      </c>
      <c r="C556" s="511" t="s">
        <v>2568</v>
      </c>
      <c r="D556" s="516" t="s">
        <v>2569</v>
      </c>
      <c r="E556" s="519" t="s">
        <v>167</v>
      </c>
      <c r="F556" s="512">
        <v>2</v>
      </c>
      <c r="G556" s="514">
        <v>361.1</v>
      </c>
      <c r="H556" s="192">
        <f t="shared" si="140"/>
        <v>722.2</v>
      </c>
      <c r="I556" s="192" t="s">
        <v>12</v>
      </c>
      <c r="J556" s="192">
        <f t="shared" si="141"/>
        <v>448.48620000000005</v>
      </c>
      <c r="K556" s="192">
        <f t="shared" si="142"/>
        <v>896.97</v>
      </c>
      <c r="L556" s="250">
        <f t="shared" si="143"/>
        <v>9.0310361878182023E-5</v>
      </c>
    </row>
    <row r="557" spans="1:12" s="3" customFormat="1">
      <c r="A557" s="510" t="s">
        <v>2599</v>
      </c>
      <c r="B557" s="519" t="s">
        <v>1917</v>
      </c>
      <c r="C557" s="511" t="s">
        <v>2570</v>
      </c>
      <c r="D557" s="516" t="s">
        <v>2571</v>
      </c>
      <c r="E557" s="519" t="s">
        <v>167</v>
      </c>
      <c r="F557" s="512">
        <v>24</v>
      </c>
      <c r="G557" s="514">
        <v>115.07</v>
      </c>
      <c r="H557" s="192">
        <f t="shared" si="140"/>
        <v>2761.68</v>
      </c>
      <c r="I557" s="192" t="s">
        <v>12</v>
      </c>
      <c r="J557" s="192">
        <f t="shared" si="141"/>
        <v>142.91693999999998</v>
      </c>
      <c r="K557" s="192">
        <f t="shared" si="142"/>
        <v>3430.01</v>
      </c>
      <c r="L557" s="250">
        <f t="shared" si="143"/>
        <v>3.4534649357925365E-4</v>
      </c>
    </row>
    <row r="558" spans="1:12" s="3" customFormat="1">
      <c r="A558" s="510" t="s">
        <v>2600</v>
      </c>
      <c r="B558" s="512" t="s">
        <v>4</v>
      </c>
      <c r="C558" s="511" t="s">
        <v>2572</v>
      </c>
      <c r="D558" s="521" t="s">
        <v>2573</v>
      </c>
      <c r="E558" s="519" t="s">
        <v>167</v>
      </c>
      <c r="F558" s="512">
        <v>9</v>
      </c>
      <c r="G558" s="514">
        <v>10.16</v>
      </c>
      <c r="H558" s="192">
        <f t="shared" si="140"/>
        <v>91.44</v>
      </c>
      <c r="I558" s="192" t="s">
        <v>12</v>
      </c>
      <c r="J558" s="192">
        <f t="shared" si="141"/>
        <v>12.61872</v>
      </c>
      <c r="K558" s="192">
        <f t="shared" si="142"/>
        <v>113.57</v>
      </c>
      <c r="L558" s="250">
        <f t="shared" si="143"/>
        <v>1.1434660912299333E-5</v>
      </c>
    </row>
    <row r="559" spans="1:12" s="3" customFormat="1">
      <c r="A559" s="510" t="s">
        <v>2601</v>
      </c>
      <c r="B559" s="512" t="s">
        <v>4</v>
      </c>
      <c r="C559" s="511" t="s">
        <v>2574</v>
      </c>
      <c r="D559" s="521" t="s">
        <v>2575</v>
      </c>
      <c r="E559" s="519" t="s">
        <v>167</v>
      </c>
      <c r="F559" s="512">
        <v>135</v>
      </c>
      <c r="G559" s="514">
        <v>8.02</v>
      </c>
      <c r="H559" s="192">
        <f t="shared" si="140"/>
        <v>1082.7</v>
      </c>
      <c r="I559" s="192" t="s">
        <v>12</v>
      </c>
      <c r="J559" s="192">
        <f t="shared" si="141"/>
        <v>9.9608399999999993</v>
      </c>
      <c r="K559" s="192">
        <f t="shared" si="142"/>
        <v>1344.71</v>
      </c>
      <c r="L559" s="250">
        <f t="shared" si="143"/>
        <v>1.3539053337481761E-4</v>
      </c>
    </row>
    <row r="560" spans="1:12" s="3" customFormat="1">
      <c r="A560" s="510" t="s">
        <v>2602</v>
      </c>
      <c r="B560" s="519" t="s">
        <v>1917</v>
      </c>
      <c r="C560" s="511" t="s">
        <v>2576</v>
      </c>
      <c r="D560" s="521" t="s">
        <v>2577</v>
      </c>
      <c r="E560" s="519" t="s">
        <v>167</v>
      </c>
      <c r="F560" s="512">
        <v>10</v>
      </c>
      <c r="G560" s="514">
        <v>35.51</v>
      </c>
      <c r="H560" s="192">
        <f t="shared" si="140"/>
        <v>355.09999999999997</v>
      </c>
      <c r="I560" s="192" t="s">
        <v>12</v>
      </c>
      <c r="J560" s="192">
        <f t="shared" si="141"/>
        <v>44.10342</v>
      </c>
      <c r="K560" s="192">
        <f t="shared" si="142"/>
        <v>441.03</v>
      </c>
      <c r="L560" s="250">
        <f t="shared" si="143"/>
        <v>4.4404583095459846E-5</v>
      </c>
    </row>
    <row r="561" spans="1:12" s="3" customFormat="1">
      <c r="A561" s="510" t="s">
        <v>2603</v>
      </c>
      <c r="B561" s="519" t="s">
        <v>1917</v>
      </c>
      <c r="C561" s="511" t="s">
        <v>2578</v>
      </c>
      <c r="D561" s="521" t="s">
        <v>2579</v>
      </c>
      <c r="E561" s="519" t="s">
        <v>167</v>
      </c>
      <c r="F561" s="512">
        <v>4</v>
      </c>
      <c r="G561" s="514">
        <v>8.2200000000000006</v>
      </c>
      <c r="H561" s="192">
        <f t="shared" si="140"/>
        <v>32.880000000000003</v>
      </c>
      <c r="I561" s="192" t="s">
        <v>12</v>
      </c>
      <c r="J561" s="192">
        <f t="shared" si="141"/>
        <v>10.209240000000001</v>
      </c>
      <c r="K561" s="192">
        <f t="shared" si="142"/>
        <v>40.840000000000003</v>
      </c>
      <c r="L561" s="250">
        <f t="shared" si="143"/>
        <v>4.1119270199727464E-6</v>
      </c>
    </row>
    <row r="562" spans="1:12" s="3" customFormat="1" ht="30">
      <c r="A562" s="510" t="s">
        <v>2604</v>
      </c>
      <c r="B562" s="512" t="s">
        <v>4</v>
      </c>
      <c r="C562" s="511" t="s">
        <v>2580</v>
      </c>
      <c r="D562" s="521" t="s">
        <v>2581</v>
      </c>
      <c r="E562" s="519" t="s">
        <v>167</v>
      </c>
      <c r="F562" s="512">
        <v>2</v>
      </c>
      <c r="G562" s="514">
        <v>559.87</v>
      </c>
      <c r="H562" s="192">
        <f t="shared" si="140"/>
        <v>1119.74</v>
      </c>
      <c r="I562" s="192" t="s">
        <v>12</v>
      </c>
      <c r="J562" s="192">
        <f t="shared" si="141"/>
        <v>695.35853999999995</v>
      </c>
      <c r="K562" s="192">
        <f t="shared" si="142"/>
        <v>1390.72</v>
      </c>
      <c r="L562" s="250">
        <f t="shared" si="143"/>
        <v>1.4002299572028642E-4</v>
      </c>
    </row>
    <row r="563" spans="1:12" s="3" customFormat="1" ht="25.5">
      <c r="A563" s="510" t="s">
        <v>2605</v>
      </c>
      <c r="B563" s="519" t="s">
        <v>1917</v>
      </c>
      <c r="C563" s="511" t="s">
        <v>2582</v>
      </c>
      <c r="D563" s="516" t="s">
        <v>2583</v>
      </c>
      <c r="E563" s="512" t="s">
        <v>180</v>
      </c>
      <c r="F563" s="512">
        <v>30</v>
      </c>
      <c r="G563" s="514">
        <v>18.03</v>
      </c>
      <c r="H563" s="192">
        <f t="shared" si="140"/>
        <v>540.90000000000009</v>
      </c>
      <c r="I563" s="192" t="s">
        <v>12</v>
      </c>
      <c r="J563" s="192">
        <f t="shared" si="141"/>
        <v>22.393260000000001</v>
      </c>
      <c r="K563" s="192">
        <f t="shared" si="142"/>
        <v>671.8</v>
      </c>
      <c r="L563" s="250">
        <f t="shared" si="143"/>
        <v>6.763938716987489E-5</v>
      </c>
    </row>
    <row r="564" spans="1:12" s="3" customFormat="1">
      <c r="A564" s="510" t="s">
        <v>2606</v>
      </c>
      <c r="B564" s="519" t="s">
        <v>1917</v>
      </c>
      <c r="C564" s="511" t="s">
        <v>2584</v>
      </c>
      <c r="D564" s="516" t="s">
        <v>2585</v>
      </c>
      <c r="E564" s="519" t="s">
        <v>167</v>
      </c>
      <c r="F564" s="512">
        <v>24</v>
      </c>
      <c r="G564" s="514">
        <v>209.96</v>
      </c>
      <c r="H564" s="192">
        <f t="shared" si="140"/>
        <v>5039.04</v>
      </c>
      <c r="I564" s="192" t="s">
        <v>12</v>
      </c>
      <c r="J564" s="192">
        <f t="shared" si="141"/>
        <v>260.77032000000003</v>
      </c>
      <c r="K564" s="192">
        <f t="shared" si="142"/>
        <v>6258.49</v>
      </c>
      <c r="L564" s="250">
        <f t="shared" si="143"/>
        <v>6.3012865169513295E-4</v>
      </c>
    </row>
    <row r="565" spans="1:12" s="3" customFormat="1">
      <c r="A565" s="510" t="s">
        <v>2607</v>
      </c>
      <c r="B565" s="519" t="s">
        <v>1917</v>
      </c>
      <c r="C565" s="512" t="s">
        <v>2586</v>
      </c>
      <c r="D565" s="516" t="s">
        <v>2587</v>
      </c>
      <c r="E565" s="519" t="s">
        <v>167</v>
      </c>
      <c r="F565" s="512">
        <v>4</v>
      </c>
      <c r="G565" s="514">
        <v>56.73</v>
      </c>
      <c r="H565" s="192">
        <f t="shared" si="140"/>
        <v>226.92</v>
      </c>
      <c r="I565" s="192" t="s">
        <v>12</v>
      </c>
      <c r="J565" s="192">
        <f t="shared" si="141"/>
        <v>70.458659999999995</v>
      </c>
      <c r="K565" s="192">
        <f t="shared" si="142"/>
        <v>281.83</v>
      </c>
      <c r="L565" s="250">
        <f t="shared" si="143"/>
        <v>2.8375719687534745E-5</v>
      </c>
    </row>
    <row r="566" spans="1:12" s="3" customFormat="1">
      <c r="A566" s="510" t="s">
        <v>2608</v>
      </c>
      <c r="B566" s="519" t="s">
        <v>1917</v>
      </c>
      <c r="C566" s="512" t="s">
        <v>2588</v>
      </c>
      <c r="D566" s="516" t="s">
        <v>2589</v>
      </c>
      <c r="E566" s="519" t="s">
        <v>167</v>
      </c>
      <c r="F566" s="512">
        <v>103</v>
      </c>
      <c r="G566" s="514">
        <v>24.29</v>
      </c>
      <c r="H566" s="192">
        <f t="shared" si="140"/>
        <v>2501.87</v>
      </c>
      <c r="I566" s="192" t="s">
        <v>12</v>
      </c>
      <c r="J566" s="192">
        <f t="shared" si="141"/>
        <v>30.16818</v>
      </c>
      <c r="K566" s="192">
        <f t="shared" si="142"/>
        <v>3107.32</v>
      </c>
      <c r="L566" s="250">
        <f t="shared" si="143"/>
        <v>3.1285683319543862E-4</v>
      </c>
    </row>
    <row r="567" spans="1:12" s="3" customFormat="1">
      <c r="A567" s="510" t="s">
        <v>2609</v>
      </c>
      <c r="B567" s="519" t="s">
        <v>1917</v>
      </c>
      <c r="C567" s="512" t="s">
        <v>2590</v>
      </c>
      <c r="D567" s="516" t="s">
        <v>2591</v>
      </c>
      <c r="E567" s="519" t="s">
        <v>167</v>
      </c>
      <c r="F567" s="512">
        <v>36</v>
      </c>
      <c r="G567" s="514">
        <v>40.29</v>
      </c>
      <c r="H567" s="192">
        <f t="shared" si="140"/>
        <v>1450.44</v>
      </c>
      <c r="I567" s="192" t="s">
        <v>12</v>
      </c>
      <c r="J567" s="192">
        <f t="shared" si="141"/>
        <v>50.040179999999999</v>
      </c>
      <c r="K567" s="192">
        <f t="shared" si="142"/>
        <v>1801.45</v>
      </c>
      <c r="L567" s="250">
        <f t="shared" si="143"/>
        <v>1.8137685920984091E-4</v>
      </c>
    </row>
    <row r="568" spans="1:12" s="3" customFormat="1">
      <c r="A568" s="510" t="s">
        <v>2610</v>
      </c>
      <c r="B568" s="519" t="s">
        <v>1917</v>
      </c>
      <c r="C568" s="512" t="s">
        <v>2592</v>
      </c>
      <c r="D568" s="516" t="s">
        <v>2593</v>
      </c>
      <c r="E568" s="519" t="s">
        <v>167</v>
      </c>
      <c r="F568" s="512">
        <v>19</v>
      </c>
      <c r="G568" s="514">
        <v>77.319999999999993</v>
      </c>
      <c r="H568" s="192">
        <f t="shared" si="140"/>
        <v>1469.08</v>
      </c>
      <c r="I568" s="192" t="s">
        <v>12</v>
      </c>
      <c r="J568" s="192">
        <f t="shared" si="141"/>
        <v>96.031439999999989</v>
      </c>
      <c r="K568" s="192">
        <f t="shared" si="142"/>
        <v>1824.6</v>
      </c>
      <c r="L568" s="250">
        <f t="shared" si="143"/>
        <v>1.8370768953580489E-4</v>
      </c>
    </row>
    <row r="569" spans="1:12" s="3" customFormat="1">
      <c r="A569" s="43"/>
      <c r="B569" s="65"/>
      <c r="C569" s="65"/>
      <c r="D569" s="42"/>
      <c r="E569" s="44"/>
      <c r="F569" s="45"/>
      <c r="G569" s="274"/>
      <c r="H569" s="47"/>
      <c r="I569" s="47"/>
      <c r="J569" s="47"/>
      <c r="K569" s="47"/>
      <c r="L569" s="248"/>
    </row>
    <row r="570" spans="1:12" s="3" customFormat="1" ht="15.75">
      <c r="A570" s="524">
        <v>6</v>
      </c>
      <c r="B570" s="759"/>
      <c r="C570" s="760"/>
      <c r="D570" s="611" t="s">
        <v>2611</v>
      </c>
      <c r="E570" s="611"/>
      <c r="F570" s="611"/>
      <c r="G570" s="509"/>
      <c r="H570" s="509"/>
      <c r="I570" s="509"/>
      <c r="J570" s="509"/>
      <c r="K570" s="31">
        <f>SUM(K571:K578)</f>
        <v>32946.700000000004</v>
      </c>
      <c r="L570" s="249">
        <f>SUM(L571:L578)</f>
        <v>3.3171994600620972E-3</v>
      </c>
    </row>
    <row r="571" spans="1:12" s="3" customFormat="1">
      <c r="A571" s="515" t="s">
        <v>1894</v>
      </c>
      <c r="B571" s="519" t="s">
        <v>1917</v>
      </c>
      <c r="C571" s="519" t="s">
        <v>2612</v>
      </c>
      <c r="D571" s="518" t="s">
        <v>2613</v>
      </c>
      <c r="E571" s="519" t="s">
        <v>180</v>
      </c>
      <c r="F571" s="512">
        <v>45.33</v>
      </c>
      <c r="G571" s="520">
        <v>19.37</v>
      </c>
      <c r="H571" s="192">
        <f t="shared" ref="H571:H578" si="144">IF(C571="","",F571*G571)</f>
        <v>878.0421</v>
      </c>
      <c r="I571" s="192" t="s">
        <v>12</v>
      </c>
      <c r="J571" s="192">
        <f t="shared" ref="J571" si="145">IF(E571="","",IF(I571=$G$4,(G571*(1+$H$4)),(G571*(1+$H$5))))</f>
        <v>24.057539999999999</v>
      </c>
      <c r="K571" s="192">
        <f t="shared" ref="K571:K578" si="146">ROUND((IF(B571="","",F571*J571)),2)</f>
        <v>1090.53</v>
      </c>
      <c r="L571" s="250">
        <f t="shared" ref="L571:L578" si="147">IF(C571="","",K571/$K$734)</f>
        <v>1.0979872118244071E-4</v>
      </c>
    </row>
    <row r="572" spans="1:12" s="3" customFormat="1">
      <c r="A572" s="515" t="s">
        <v>1898</v>
      </c>
      <c r="B572" s="519" t="s">
        <v>1917</v>
      </c>
      <c r="C572" s="519" t="s">
        <v>2614</v>
      </c>
      <c r="D572" s="516" t="s">
        <v>2615</v>
      </c>
      <c r="E572" s="519" t="s">
        <v>167</v>
      </c>
      <c r="F572" s="512">
        <v>272</v>
      </c>
      <c r="G572" s="520">
        <v>15.6</v>
      </c>
      <c r="H572" s="192">
        <f t="shared" si="144"/>
        <v>4243.2</v>
      </c>
      <c r="I572" s="192" t="s">
        <v>12</v>
      </c>
      <c r="J572" s="192">
        <f t="shared" ref="J572:J578" si="148">IF(E572="","",IF(I572=$G$4,(G572*(1+$H$4)),(G572*(1+$H$5))))</f>
        <v>19.3752</v>
      </c>
      <c r="K572" s="192">
        <f t="shared" si="146"/>
        <v>5270.05</v>
      </c>
      <c r="L572" s="250">
        <f t="shared" si="147"/>
        <v>5.3060874122447038E-4</v>
      </c>
    </row>
    <row r="573" spans="1:12" s="3" customFormat="1">
      <c r="A573" s="515" t="s">
        <v>2644</v>
      </c>
      <c r="B573" s="519" t="s">
        <v>1917</v>
      </c>
      <c r="C573" s="519" t="s">
        <v>2616</v>
      </c>
      <c r="D573" s="518" t="s">
        <v>2617</v>
      </c>
      <c r="E573" s="519" t="s">
        <v>180</v>
      </c>
      <c r="F573" s="512">
        <v>272</v>
      </c>
      <c r="G573" s="520">
        <v>5.0599999999999996</v>
      </c>
      <c r="H573" s="192">
        <f t="shared" si="144"/>
        <v>1376.32</v>
      </c>
      <c r="I573" s="192" t="s">
        <v>12</v>
      </c>
      <c r="J573" s="192">
        <f t="shared" si="148"/>
        <v>6.2845199999999997</v>
      </c>
      <c r="K573" s="192">
        <f t="shared" si="146"/>
        <v>1709.39</v>
      </c>
      <c r="L573" s="250">
        <f t="shared" si="147"/>
        <v>1.7210790716628825E-4</v>
      </c>
    </row>
    <row r="574" spans="1:12" s="3" customFormat="1" ht="25.5">
      <c r="A574" s="515" t="s">
        <v>2645</v>
      </c>
      <c r="B574" s="519" t="s">
        <v>1917</v>
      </c>
      <c r="C574" s="519" t="s">
        <v>2618</v>
      </c>
      <c r="D574" s="518" t="s">
        <v>2619</v>
      </c>
      <c r="E574" s="519" t="s">
        <v>180</v>
      </c>
      <c r="F574" s="512">
        <v>1285.2</v>
      </c>
      <c r="G574" s="520">
        <v>10.55</v>
      </c>
      <c r="H574" s="192">
        <f t="shared" si="144"/>
        <v>13558.86</v>
      </c>
      <c r="I574" s="192" t="s">
        <v>12</v>
      </c>
      <c r="J574" s="192">
        <f t="shared" si="148"/>
        <v>13.103100000000001</v>
      </c>
      <c r="K574" s="192">
        <f t="shared" si="146"/>
        <v>16840.099999999999</v>
      </c>
      <c r="L574" s="250">
        <f t="shared" si="147"/>
        <v>1.6955255193203485E-3</v>
      </c>
    </row>
    <row r="575" spans="1:12" s="3" customFormat="1">
      <c r="A575" s="515" t="s">
        <v>2646</v>
      </c>
      <c r="B575" s="519" t="s">
        <v>1917</v>
      </c>
      <c r="C575" s="519" t="s">
        <v>2620</v>
      </c>
      <c r="D575" s="516" t="s">
        <v>2621</v>
      </c>
      <c r="E575" s="519" t="s">
        <v>167</v>
      </c>
      <c r="F575" s="512">
        <v>48</v>
      </c>
      <c r="G575" s="520">
        <v>6.6</v>
      </c>
      <c r="H575" s="192">
        <f t="shared" si="144"/>
        <v>316.79999999999995</v>
      </c>
      <c r="I575" s="192" t="s">
        <v>12</v>
      </c>
      <c r="J575" s="192">
        <f t="shared" si="148"/>
        <v>8.1971999999999987</v>
      </c>
      <c r="K575" s="192">
        <f t="shared" si="146"/>
        <v>393.47</v>
      </c>
      <c r="L575" s="250">
        <f t="shared" si="147"/>
        <v>3.9616060836157599E-5</v>
      </c>
    </row>
    <row r="576" spans="1:12" s="3" customFormat="1">
      <c r="A576" s="515" t="s">
        <v>2647</v>
      </c>
      <c r="B576" s="519" t="s">
        <v>1917</v>
      </c>
      <c r="C576" s="519" t="s">
        <v>2622</v>
      </c>
      <c r="D576" s="516" t="s">
        <v>2623</v>
      </c>
      <c r="E576" s="519" t="s">
        <v>167</v>
      </c>
      <c r="F576" s="512">
        <v>136</v>
      </c>
      <c r="G576" s="520">
        <v>9.64</v>
      </c>
      <c r="H576" s="192">
        <f t="shared" si="144"/>
        <v>1311.04</v>
      </c>
      <c r="I576" s="192" t="s">
        <v>12</v>
      </c>
      <c r="J576" s="192">
        <f t="shared" si="148"/>
        <v>11.97288</v>
      </c>
      <c r="K576" s="192">
        <f t="shared" si="146"/>
        <v>1628.31</v>
      </c>
      <c r="L576" s="250">
        <f t="shared" si="147"/>
        <v>1.639444634155686E-4</v>
      </c>
    </row>
    <row r="577" spans="1:12" s="3" customFormat="1">
      <c r="A577" s="515" t="s">
        <v>2648</v>
      </c>
      <c r="B577" s="519" t="s">
        <v>1917</v>
      </c>
      <c r="C577" s="519" t="s">
        <v>2624</v>
      </c>
      <c r="D577" s="518" t="s">
        <v>2625</v>
      </c>
      <c r="E577" s="519" t="s">
        <v>167</v>
      </c>
      <c r="F577" s="512">
        <v>48</v>
      </c>
      <c r="G577" s="520">
        <v>50.12</v>
      </c>
      <c r="H577" s="192">
        <f t="shared" si="144"/>
        <v>2405.7599999999998</v>
      </c>
      <c r="I577" s="192" t="s">
        <v>12</v>
      </c>
      <c r="J577" s="192">
        <f t="shared" si="148"/>
        <v>62.249039999999994</v>
      </c>
      <c r="K577" s="192">
        <f t="shared" si="146"/>
        <v>2987.95</v>
      </c>
      <c r="L577" s="250">
        <f t="shared" si="147"/>
        <v>3.0083820615395604E-4</v>
      </c>
    </row>
    <row r="578" spans="1:12" s="3" customFormat="1">
      <c r="A578" s="515" t="s">
        <v>2649</v>
      </c>
      <c r="B578" s="519" t="s">
        <v>1917</v>
      </c>
      <c r="C578" s="519" t="s">
        <v>2626</v>
      </c>
      <c r="D578" s="518" t="s">
        <v>2627</v>
      </c>
      <c r="E578" s="519" t="s">
        <v>167</v>
      </c>
      <c r="F578" s="512">
        <v>136</v>
      </c>
      <c r="G578" s="520">
        <v>17.920000000000002</v>
      </c>
      <c r="H578" s="192">
        <f t="shared" si="144"/>
        <v>2437.1200000000003</v>
      </c>
      <c r="I578" s="192" t="s">
        <v>12</v>
      </c>
      <c r="J578" s="192">
        <f t="shared" si="148"/>
        <v>22.256640000000001</v>
      </c>
      <c r="K578" s="192">
        <f t="shared" si="146"/>
        <v>3026.9</v>
      </c>
      <c r="L578" s="250">
        <f t="shared" si="147"/>
        <v>3.0475984076286741E-4</v>
      </c>
    </row>
    <row r="579" spans="1:12" s="3" customFormat="1">
      <c r="A579" s="43"/>
      <c r="B579" s="65"/>
      <c r="C579" s="65"/>
      <c r="D579" s="42"/>
      <c r="E579" s="44"/>
      <c r="F579" s="45"/>
      <c r="G579" s="274"/>
      <c r="H579" s="47"/>
      <c r="I579" s="47"/>
      <c r="J579" s="47"/>
      <c r="K579" s="47"/>
      <c r="L579" s="248"/>
    </row>
    <row r="580" spans="1:12" s="3" customFormat="1" ht="15.75">
      <c r="A580" s="509">
        <v>7</v>
      </c>
      <c r="B580" s="759"/>
      <c r="C580" s="760"/>
      <c r="D580" s="611" t="s">
        <v>2628</v>
      </c>
      <c r="E580" s="611"/>
      <c r="F580" s="611"/>
      <c r="G580" s="509"/>
      <c r="H580" s="509"/>
      <c r="I580" s="509"/>
      <c r="J580" s="509"/>
      <c r="K580" s="31">
        <f>SUM(K581:K591)</f>
        <v>118474.01000000001</v>
      </c>
      <c r="L580" s="249">
        <f>SUM(L581:L591)</f>
        <v>1.1928415349743421E-2</v>
      </c>
    </row>
    <row r="581" spans="1:12" s="3" customFormat="1">
      <c r="A581" s="515" t="s">
        <v>2650</v>
      </c>
      <c r="B581" s="519" t="s">
        <v>4</v>
      </c>
      <c r="C581" s="511" t="s">
        <v>2572</v>
      </c>
      <c r="D581" s="521" t="s">
        <v>2573</v>
      </c>
      <c r="E581" s="519" t="s">
        <v>167</v>
      </c>
      <c r="F581" s="517">
        <v>4</v>
      </c>
      <c r="G581" s="520">
        <v>10.16</v>
      </c>
      <c r="H581" s="192">
        <f t="shared" ref="H581:H591" si="149">IF(B581="","",F581*G581)</f>
        <v>40.64</v>
      </c>
      <c r="I581" s="192" t="s">
        <v>12</v>
      </c>
      <c r="J581" s="192">
        <f t="shared" ref="J581" si="150">IF(E581="","",IF(I581=$G$4,(G581*(1+$H$4)),(G581*(1+$H$5))))</f>
        <v>12.61872</v>
      </c>
      <c r="K581" s="192">
        <f t="shared" ref="K581:K591" si="151">ROUND((IF(C581="","",F581*J581)),2)</f>
        <v>50.47</v>
      </c>
      <c r="L581" s="250">
        <f t="shared" ref="L581:L591" si="152">IF(B581="","",K581/$K$734)</f>
        <v>5.081512162047612E-6</v>
      </c>
    </row>
    <row r="582" spans="1:12" s="3" customFormat="1">
      <c r="A582" s="515" t="s">
        <v>2651</v>
      </c>
      <c r="B582" s="519" t="s">
        <v>4</v>
      </c>
      <c r="C582" s="511" t="s">
        <v>2574</v>
      </c>
      <c r="D582" s="521" t="s">
        <v>2575</v>
      </c>
      <c r="E582" s="519" t="s">
        <v>167</v>
      </c>
      <c r="F582" s="517">
        <v>180</v>
      </c>
      <c r="G582" s="520">
        <v>8.02</v>
      </c>
      <c r="H582" s="192">
        <f t="shared" si="149"/>
        <v>1443.6</v>
      </c>
      <c r="I582" s="192" t="s">
        <v>12</v>
      </c>
      <c r="J582" s="192">
        <f t="shared" ref="J582:J591" si="153">IF(E582="","",IF(I582=$G$4,(G582*(1+$H$4)),(G582*(1+$H$5))))</f>
        <v>9.9608399999999993</v>
      </c>
      <c r="K582" s="192">
        <f t="shared" si="151"/>
        <v>1792.95</v>
      </c>
      <c r="L582" s="250">
        <f t="shared" si="152"/>
        <v>1.8052104677914141E-4</v>
      </c>
    </row>
    <row r="583" spans="1:12" s="3" customFormat="1">
      <c r="A583" s="515" t="s">
        <v>2652</v>
      </c>
      <c r="B583" s="519" t="s">
        <v>1917</v>
      </c>
      <c r="C583" s="511" t="s">
        <v>2578</v>
      </c>
      <c r="D583" s="521" t="s">
        <v>2579</v>
      </c>
      <c r="E583" s="519" t="s">
        <v>167</v>
      </c>
      <c r="F583" s="517">
        <v>20</v>
      </c>
      <c r="G583" s="520">
        <v>8.2200000000000006</v>
      </c>
      <c r="H583" s="192">
        <f t="shared" si="149"/>
        <v>164.4</v>
      </c>
      <c r="I583" s="192" t="s">
        <v>12</v>
      </c>
      <c r="J583" s="192">
        <f t="shared" si="153"/>
        <v>10.209240000000001</v>
      </c>
      <c r="K583" s="192">
        <f t="shared" si="151"/>
        <v>204.18</v>
      </c>
      <c r="L583" s="250">
        <f t="shared" si="152"/>
        <v>2.0557621423556201E-5</v>
      </c>
    </row>
    <row r="584" spans="1:12" s="3" customFormat="1" ht="25.5">
      <c r="A584" s="515" t="s">
        <v>2653</v>
      </c>
      <c r="B584" s="519" t="s">
        <v>1917</v>
      </c>
      <c r="C584" s="512" t="s">
        <v>2629</v>
      </c>
      <c r="D584" s="518" t="s">
        <v>2630</v>
      </c>
      <c r="E584" s="519" t="s">
        <v>167</v>
      </c>
      <c r="F584" s="519">
        <v>4</v>
      </c>
      <c r="G584" s="520">
        <v>90.72</v>
      </c>
      <c r="H584" s="192">
        <f t="shared" si="149"/>
        <v>362.88</v>
      </c>
      <c r="I584" s="192" t="s">
        <v>12</v>
      </c>
      <c r="J584" s="192">
        <f t="shared" si="153"/>
        <v>112.67424</v>
      </c>
      <c r="K584" s="192">
        <f t="shared" si="151"/>
        <v>450.7</v>
      </c>
      <c r="L584" s="250">
        <f t="shared" si="152"/>
        <v>4.5378195590149767E-5</v>
      </c>
    </row>
    <row r="585" spans="1:12" s="3" customFormat="1" ht="25.5">
      <c r="A585" s="515" t="s">
        <v>2654</v>
      </c>
      <c r="B585" s="519" t="s">
        <v>1917</v>
      </c>
      <c r="C585" s="512" t="s">
        <v>2631</v>
      </c>
      <c r="D585" s="516" t="s">
        <v>2632</v>
      </c>
      <c r="E585" s="519" t="s">
        <v>167</v>
      </c>
      <c r="F585" s="519">
        <v>120</v>
      </c>
      <c r="G585" s="520">
        <v>35.619999999999997</v>
      </c>
      <c r="H585" s="192">
        <f t="shared" si="149"/>
        <v>4274.3999999999996</v>
      </c>
      <c r="I585" s="192" t="s">
        <v>12</v>
      </c>
      <c r="J585" s="192">
        <f t="shared" si="153"/>
        <v>44.240039999999993</v>
      </c>
      <c r="K585" s="192">
        <f t="shared" si="151"/>
        <v>5308.8</v>
      </c>
      <c r="L585" s="250">
        <f t="shared" si="152"/>
        <v>5.3451023907030639E-4</v>
      </c>
    </row>
    <row r="586" spans="1:12" s="3" customFormat="1" ht="25.5">
      <c r="A586" s="515" t="s">
        <v>2655</v>
      </c>
      <c r="B586" s="519" t="s">
        <v>1917</v>
      </c>
      <c r="C586" s="512" t="s">
        <v>2633</v>
      </c>
      <c r="D586" s="516" t="s">
        <v>2634</v>
      </c>
      <c r="E586" s="519" t="s">
        <v>167</v>
      </c>
      <c r="F586" s="519">
        <v>56</v>
      </c>
      <c r="G586" s="520">
        <v>62.95</v>
      </c>
      <c r="H586" s="192">
        <f t="shared" si="149"/>
        <v>3525.2000000000003</v>
      </c>
      <c r="I586" s="192" t="s">
        <v>12</v>
      </c>
      <c r="J586" s="192">
        <f t="shared" si="153"/>
        <v>78.183900000000008</v>
      </c>
      <c r="K586" s="192">
        <f t="shared" si="151"/>
        <v>4378.3</v>
      </c>
      <c r="L586" s="250">
        <f t="shared" si="152"/>
        <v>4.4082394886255322E-4</v>
      </c>
    </row>
    <row r="587" spans="1:12" s="3" customFormat="1" ht="25.5">
      <c r="A587" s="515" t="s">
        <v>2656</v>
      </c>
      <c r="B587" s="519" t="s">
        <v>1917</v>
      </c>
      <c r="C587" s="512" t="s">
        <v>2635</v>
      </c>
      <c r="D587" s="516" t="s">
        <v>2636</v>
      </c>
      <c r="E587" s="519" t="s">
        <v>167</v>
      </c>
      <c r="F587" s="519">
        <v>4</v>
      </c>
      <c r="G587" s="520">
        <v>149.88999999999999</v>
      </c>
      <c r="H587" s="192">
        <f t="shared" si="149"/>
        <v>599.55999999999995</v>
      </c>
      <c r="I587" s="192" t="s">
        <v>12</v>
      </c>
      <c r="J587" s="192">
        <f t="shared" si="153"/>
        <v>186.16337999999999</v>
      </c>
      <c r="K587" s="192">
        <f t="shared" si="151"/>
        <v>744.65</v>
      </c>
      <c r="L587" s="250">
        <f t="shared" si="152"/>
        <v>7.4974203120046652E-5</v>
      </c>
    </row>
    <row r="588" spans="1:12" s="3" customFormat="1">
      <c r="A588" s="515" t="s">
        <v>2657</v>
      </c>
      <c r="B588" s="519" t="s">
        <v>4</v>
      </c>
      <c r="C588" s="519" t="s">
        <v>2637</v>
      </c>
      <c r="D588" s="518" t="s">
        <v>2638</v>
      </c>
      <c r="E588" s="519" t="s">
        <v>167</v>
      </c>
      <c r="F588" s="519">
        <v>410</v>
      </c>
      <c r="G588" s="520">
        <v>3.2</v>
      </c>
      <c r="H588" s="192">
        <f t="shared" si="149"/>
        <v>1312</v>
      </c>
      <c r="I588" s="192" t="s">
        <v>12</v>
      </c>
      <c r="J588" s="192">
        <f t="shared" si="153"/>
        <v>3.9744000000000002</v>
      </c>
      <c r="K588" s="192">
        <f t="shared" si="151"/>
        <v>1629.5</v>
      </c>
      <c r="L588" s="250">
        <f t="shared" si="152"/>
        <v>1.6406427715586654E-4</v>
      </c>
    </row>
    <row r="589" spans="1:12" s="3" customFormat="1">
      <c r="A589" s="515" t="s">
        <v>2658</v>
      </c>
      <c r="B589" s="519" t="s">
        <v>2</v>
      </c>
      <c r="C589" s="519" t="s">
        <v>2639</v>
      </c>
      <c r="D589" s="518" t="s">
        <v>2640</v>
      </c>
      <c r="E589" s="519" t="s">
        <v>167</v>
      </c>
      <c r="F589" s="517">
        <v>265</v>
      </c>
      <c r="G589" s="520">
        <v>3.16</v>
      </c>
      <c r="H589" s="192">
        <f t="shared" si="149"/>
        <v>837.40000000000009</v>
      </c>
      <c r="I589" s="192" t="s">
        <v>12</v>
      </c>
      <c r="J589" s="192">
        <f t="shared" si="153"/>
        <v>3.9247200000000002</v>
      </c>
      <c r="K589" s="192">
        <f t="shared" si="151"/>
        <v>1040.05</v>
      </c>
      <c r="L589" s="250">
        <f t="shared" si="152"/>
        <v>1.0471620218223933E-4</v>
      </c>
    </row>
    <row r="590" spans="1:12" s="3" customFormat="1">
      <c r="A590" s="515" t="s">
        <v>2659</v>
      </c>
      <c r="B590" s="519" t="s">
        <v>2</v>
      </c>
      <c r="C590" s="519">
        <v>98297</v>
      </c>
      <c r="D590" s="518" t="s">
        <v>2641</v>
      </c>
      <c r="E590" s="519" t="s">
        <v>180</v>
      </c>
      <c r="F590" s="519">
        <v>10500</v>
      </c>
      <c r="G590" s="520">
        <v>7.07</v>
      </c>
      <c r="H590" s="192">
        <f t="shared" si="149"/>
        <v>74235</v>
      </c>
      <c r="I590" s="192" t="s">
        <v>12</v>
      </c>
      <c r="J590" s="192">
        <f t="shared" si="153"/>
        <v>8.7809400000000011</v>
      </c>
      <c r="K590" s="192">
        <f t="shared" si="151"/>
        <v>92199.87</v>
      </c>
      <c r="L590" s="250">
        <f t="shared" si="152"/>
        <v>9.283034688809368E-3</v>
      </c>
    </row>
    <row r="591" spans="1:12" s="3" customFormat="1">
      <c r="A591" s="515" t="s">
        <v>2660</v>
      </c>
      <c r="B591" s="519" t="s">
        <v>1917</v>
      </c>
      <c r="C591" s="512" t="s">
        <v>2642</v>
      </c>
      <c r="D591" s="518" t="s">
        <v>2643</v>
      </c>
      <c r="E591" s="519" t="s">
        <v>167</v>
      </c>
      <c r="F591" s="519">
        <v>184</v>
      </c>
      <c r="G591" s="520">
        <v>46.71</v>
      </c>
      <c r="H591" s="192">
        <f t="shared" si="149"/>
        <v>8594.64</v>
      </c>
      <c r="I591" s="192" t="s">
        <v>12</v>
      </c>
      <c r="J591" s="192">
        <f t="shared" si="153"/>
        <v>58.013820000000003</v>
      </c>
      <c r="K591" s="192">
        <f t="shared" si="151"/>
        <v>10674.54</v>
      </c>
      <c r="L591" s="250">
        <f t="shared" si="152"/>
        <v>1.0747534145881458E-3</v>
      </c>
    </row>
    <row r="592" spans="1:12" s="3" customFormat="1">
      <c r="A592" s="43"/>
      <c r="B592" s="65"/>
      <c r="C592" s="65"/>
      <c r="D592" s="42"/>
      <c r="E592" s="44"/>
      <c r="F592" s="45"/>
      <c r="G592" s="274"/>
      <c r="H592" s="47"/>
      <c r="I592" s="47"/>
      <c r="J592" s="47"/>
      <c r="K592" s="47"/>
      <c r="L592" s="248"/>
    </row>
    <row r="593" spans="1:12" s="3" customFormat="1" ht="15.75">
      <c r="A593" s="509">
        <v>8</v>
      </c>
      <c r="B593" s="759"/>
      <c r="C593" s="760"/>
      <c r="D593" s="611" t="s">
        <v>2661</v>
      </c>
      <c r="E593" s="611"/>
      <c r="F593" s="611"/>
      <c r="G593" s="509"/>
      <c r="H593" s="509"/>
      <c r="I593" s="509"/>
      <c r="J593" s="509"/>
      <c r="K593" s="31">
        <f>SUM(K594:K595)</f>
        <v>83358.92</v>
      </c>
      <c r="L593" s="249">
        <f>SUM(L594:L595)</f>
        <v>8.3928941112572601E-3</v>
      </c>
    </row>
    <row r="594" spans="1:12" s="3" customFormat="1">
      <c r="A594" s="515" t="s">
        <v>2667</v>
      </c>
      <c r="B594" s="519" t="s">
        <v>1917</v>
      </c>
      <c r="C594" s="531" t="s">
        <v>2662</v>
      </c>
      <c r="D594" s="532" t="s">
        <v>2663</v>
      </c>
      <c r="E594" s="519" t="s">
        <v>2664</v>
      </c>
      <c r="F594" s="519">
        <v>12</v>
      </c>
      <c r="G594" s="520">
        <v>4522.6400000000003</v>
      </c>
      <c r="H594" s="192">
        <f>IF(C594="","",F594*G594)</f>
        <v>54271.680000000008</v>
      </c>
      <c r="I594" s="192" t="s">
        <v>12</v>
      </c>
      <c r="J594" s="192">
        <f t="shared" ref="J594" si="154">IF(E594="","",IF(I594=$G$4,(G594*(1+$H$4)),(G594*(1+$H$5))))</f>
        <v>5617.11888</v>
      </c>
      <c r="K594" s="192">
        <f>ROUND((IF(B594="","",F594*J594)),2)</f>
        <v>67405.429999999993</v>
      </c>
      <c r="L594" s="250">
        <f>IF(C594="","",K594/$K$734)</f>
        <v>6.7866358694877935E-3</v>
      </c>
    </row>
    <row r="595" spans="1:12" s="3" customFormat="1">
      <c r="A595" s="515" t="s">
        <v>2668</v>
      </c>
      <c r="B595" s="519" t="s">
        <v>1917</v>
      </c>
      <c r="C595" s="531" t="s">
        <v>2665</v>
      </c>
      <c r="D595" s="532" t="s">
        <v>2666</v>
      </c>
      <c r="E595" s="519" t="s">
        <v>167</v>
      </c>
      <c r="F595" s="519">
        <v>2</v>
      </c>
      <c r="G595" s="520">
        <v>6422.5</v>
      </c>
      <c r="H595" s="192">
        <f>IF(C595="","",F595*G595)</f>
        <v>12845</v>
      </c>
      <c r="I595" s="192" t="s">
        <v>12</v>
      </c>
      <c r="J595" s="192">
        <f t="shared" ref="J595" si="155">IF(E595="","",IF(I595=$G$4,(G595*(1+$H$4)),(G595*(1+$H$5))))</f>
        <v>7976.7449999999999</v>
      </c>
      <c r="K595" s="192">
        <f>ROUND((IF(B595="","",F595*J595)),2)</f>
        <v>15953.49</v>
      </c>
      <c r="L595" s="250">
        <f>IF(C595="","",K595/$K$734)</f>
        <v>1.6062582417694662E-3</v>
      </c>
    </row>
    <row r="596" spans="1:12" s="3" customFormat="1">
      <c r="A596" s="523"/>
      <c r="B596" s="522"/>
      <c r="C596" s="522"/>
      <c r="D596" s="525"/>
      <c r="E596" s="526"/>
      <c r="F596" s="527"/>
      <c r="G596" s="528"/>
      <c r="H596" s="529"/>
      <c r="I596" s="529"/>
      <c r="J596" s="529"/>
      <c r="K596" s="529"/>
      <c r="L596" s="530"/>
    </row>
    <row r="597" spans="1:12" s="3" customFormat="1" ht="15.75">
      <c r="A597" s="509">
        <v>9</v>
      </c>
      <c r="B597" s="759"/>
      <c r="C597" s="760"/>
      <c r="D597" s="611" t="s">
        <v>2669</v>
      </c>
      <c r="E597" s="611"/>
      <c r="F597" s="611"/>
      <c r="G597" s="509"/>
      <c r="H597" s="509"/>
      <c r="I597" s="509"/>
      <c r="J597" s="509"/>
      <c r="K597" s="31">
        <f>SUM(K598:K603)</f>
        <v>20635.129999999997</v>
      </c>
      <c r="L597" s="249">
        <f>SUM(L598:L603)</f>
        <v>2.0776236191883007E-3</v>
      </c>
    </row>
    <row r="598" spans="1:12" s="3" customFormat="1">
      <c r="A598" s="515" t="s">
        <v>2677</v>
      </c>
      <c r="B598" s="519" t="s">
        <v>3</v>
      </c>
      <c r="C598" s="519" t="s">
        <v>368</v>
      </c>
      <c r="D598" s="516" t="s">
        <v>2670</v>
      </c>
      <c r="E598" s="519" t="s">
        <v>180</v>
      </c>
      <c r="F598" s="519">
        <v>130</v>
      </c>
      <c r="G598" s="520">
        <v>62.08</v>
      </c>
      <c r="H598" s="192">
        <f>IF(C598="","",F598*G598)</f>
        <v>8070.4</v>
      </c>
      <c r="I598" s="192" t="s">
        <v>12</v>
      </c>
      <c r="J598" s="192">
        <f t="shared" ref="J598" si="156">IF(E598="","",IF(I598=$G$4,(G598*(1+$H$4)),(G598*(1+$H$5))))</f>
        <v>77.103359999999995</v>
      </c>
      <c r="K598" s="192">
        <f>ROUND((IF(B598="","",F598*J598)),2)</f>
        <v>10023.44</v>
      </c>
      <c r="L598" s="250">
        <f t="shared" ref="L598:L603" si="157">IF(C598="","",K598/$K$734)</f>
        <v>1.0091981823965627E-3</v>
      </c>
    </row>
    <row r="599" spans="1:12" s="3" customFormat="1" ht="25.5">
      <c r="A599" s="515" t="s">
        <v>2678</v>
      </c>
      <c r="B599" s="519" t="s">
        <v>3</v>
      </c>
      <c r="C599" s="519" t="s">
        <v>1385</v>
      </c>
      <c r="D599" s="516" t="s">
        <v>1386</v>
      </c>
      <c r="E599" s="519" t="s">
        <v>180</v>
      </c>
      <c r="F599" s="519">
        <v>40</v>
      </c>
      <c r="G599" s="520">
        <v>20.36</v>
      </c>
      <c r="H599" s="192">
        <f t="shared" ref="H599:H603" si="158">IF(C599="","",F599*G599)</f>
        <v>814.4</v>
      </c>
      <c r="I599" s="192" t="s">
        <v>12</v>
      </c>
      <c r="J599" s="192">
        <f t="shared" ref="J599:J603" si="159">IF(E599="","",IF(I599=$G$4,(G599*(1+$H$4)),(G599*(1+$H$5))))</f>
        <v>25.287119999999998</v>
      </c>
      <c r="K599" s="192">
        <f t="shared" ref="K599:K603" si="160">ROUND((IF(B599="","",F599*J599)),2)</f>
        <v>1011.48</v>
      </c>
      <c r="L599" s="250">
        <f t="shared" si="157"/>
        <v>1.0183966557693519E-4</v>
      </c>
    </row>
    <row r="600" spans="1:12" s="3" customFormat="1">
      <c r="A600" s="515" t="s">
        <v>2679</v>
      </c>
      <c r="B600" s="519" t="s">
        <v>2</v>
      </c>
      <c r="C600" s="519">
        <v>95778</v>
      </c>
      <c r="D600" s="516" t="s">
        <v>2671</v>
      </c>
      <c r="E600" s="519" t="s">
        <v>167</v>
      </c>
      <c r="F600" s="519">
        <v>12</v>
      </c>
      <c r="G600" s="520">
        <v>29.17</v>
      </c>
      <c r="H600" s="192">
        <f t="shared" si="158"/>
        <v>350.04</v>
      </c>
      <c r="I600" s="192" t="s">
        <v>12</v>
      </c>
      <c r="J600" s="192">
        <f t="shared" si="159"/>
        <v>36.229140000000001</v>
      </c>
      <c r="K600" s="192">
        <f t="shared" si="160"/>
        <v>434.75</v>
      </c>
      <c r="L600" s="250">
        <f t="shared" si="157"/>
        <v>4.3772288734895965E-5</v>
      </c>
    </row>
    <row r="601" spans="1:12" s="3" customFormat="1" ht="25.5">
      <c r="A601" s="515" t="s">
        <v>2680</v>
      </c>
      <c r="B601" s="519" t="s">
        <v>1917</v>
      </c>
      <c r="C601" s="519" t="s">
        <v>2672</v>
      </c>
      <c r="D601" s="516" t="s">
        <v>2673</v>
      </c>
      <c r="E601" s="519" t="s">
        <v>180</v>
      </c>
      <c r="F601" s="519">
        <v>170</v>
      </c>
      <c r="G601" s="520">
        <v>7.83</v>
      </c>
      <c r="H601" s="192">
        <f t="shared" si="158"/>
        <v>1331.1</v>
      </c>
      <c r="I601" s="192" t="s">
        <v>12</v>
      </c>
      <c r="J601" s="192">
        <f t="shared" si="159"/>
        <v>9.7248599999999996</v>
      </c>
      <c r="K601" s="192">
        <f t="shared" si="160"/>
        <v>1653.23</v>
      </c>
      <c r="L601" s="250">
        <f t="shared" si="157"/>
        <v>1.6645350409474885E-4</v>
      </c>
    </row>
    <row r="602" spans="1:12" s="3" customFormat="1" ht="25.5">
      <c r="A602" s="515" t="s">
        <v>2681</v>
      </c>
      <c r="B602" s="519" t="s">
        <v>2</v>
      </c>
      <c r="C602" s="519">
        <v>91927</v>
      </c>
      <c r="D602" s="516" t="s">
        <v>2674</v>
      </c>
      <c r="E602" s="519" t="s">
        <v>180</v>
      </c>
      <c r="F602" s="519">
        <v>525</v>
      </c>
      <c r="G602" s="520">
        <v>4.3</v>
      </c>
      <c r="H602" s="192">
        <f t="shared" si="158"/>
        <v>2257.5</v>
      </c>
      <c r="I602" s="192" t="s">
        <v>12</v>
      </c>
      <c r="J602" s="192">
        <f t="shared" si="159"/>
        <v>5.3405999999999993</v>
      </c>
      <c r="K602" s="192">
        <f t="shared" si="160"/>
        <v>2803.82</v>
      </c>
      <c r="L602" s="250">
        <f t="shared" si="157"/>
        <v>2.8229929522869697E-4</v>
      </c>
    </row>
    <row r="603" spans="1:12" s="3" customFormat="1" ht="25.5">
      <c r="A603" s="515" t="s">
        <v>2682</v>
      </c>
      <c r="B603" s="519" t="s">
        <v>3</v>
      </c>
      <c r="C603" s="519" t="s">
        <v>2675</v>
      </c>
      <c r="D603" s="516" t="s">
        <v>2676</v>
      </c>
      <c r="E603" s="519" t="s">
        <v>167</v>
      </c>
      <c r="F603" s="519">
        <v>31</v>
      </c>
      <c r="G603" s="520">
        <v>122.29</v>
      </c>
      <c r="H603" s="192">
        <f t="shared" si="158"/>
        <v>3790.9900000000002</v>
      </c>
      <c r="I603" s="192" t="s">
        <v>12</v>
      </c>
      <c r="J603" s="192">
        <f t="shared" si="159"/>
        <v>151.88418000000001</v>
      </c>
      <c r="K603" s="192">
        <f t="shared" si="160"/>
        <v>4708.41</v>
      </c>
      <c r="L603" s="250">
        <f t="shared" si="157"/>
        <v>4.7406068315646119E-4</v>
      </c>
    </row>
    <row r="604" spans="1:12" s="3" customFormat="1">
      <c r="A604" s="523"/>
      <c r="B604" s="522"/>
      <c r="C604" s="522"/>
      <c r="D604" s="525"/>
      <c r="E604" s="526"/>
      <c r="F604" s="527"/>
      <c r="G604" s="528"/>
      <c r="H604" s="529"/>
      <c r="I604" s="529"/>
      <c r="J604" s="529"/>
      <c r="K604" s="529"/>
      <c r="L604" s="530"/>
    </row>
    <row r="605" spans="1:12" s="3" customFormat="1" ht="15.75">
      <c r="A605" s="509">
        <v>10</v>
      </c>
      <c r="B605" s="766"/>
      <c r="C605" s="766"/>
      <c r="D605" s="611" t="s">
        <v>2683</v>
      </c>
      <c r="E605" s="611"/>
      <c r="F605" s="611"/>
      <c r="G605" s="509"/>
      <c r="H605" s="509"/>
      <c r="I605" s="509"/>
      <c r="J605" s="509"/>
      <c r="K605" s="542">
        <f>K606+K616+K623+K643+K647</f>
        <v>27986.17</v>
      </c>
      <c r="L605" s="543">
        <f>L606+L616+L623+L643+L647</f>
        <v>2.8177543733729346E-3</v>
      </c>
    </row>
    <row r="606" spans="1:12" s="3" customFormat="1">
      <c r="A606" s="533" t="s">
        <v>2750</v>
      </c>
      <c r="B606" s="533"/>
      <c r="C606" s="533"/>
      <c r="D606" s="534" t="s">
        <v>2684</v>
      </c>
      <c r="E606" s="533"/>
      <c r="F606" s="533"/>
      <c r="G606" s="533"/>
      <c r="H606" s="533"/>
      <c r="I606" s="533"/>
      <c r="J606" s="533"/>
      <c r="K606" s="540">
        <f>SUM(K607:K615)</f>
        <v>12998.49</v>
      </c>
      <c r="L606" s="462">
        <f>SUM(L607:L615)</f>
        <v>1.3087375673321632E-3</v>
      </c>
    </row>
    <row r="607" spans="1:12" s="3" customFormat="1" ht="25.5">
      <c r="A607" s="535" t="s">
        <v>2751</v>
      </c>
      <c r="B607" s="519" t="s">
        <v>2</v>
      </c>
      <c r="C607" s="519">
        <v>101155</v>
      </c>
      <c r="D607" s="536" t="s">
        <v>2685</v>
      </c>
      <c r="E607" s="519" t="s">
        <v>150</v>
      </c>
      <c r="F607" s="519">
        <v>25</v>
      </c>
      <c r="G607" s="520">
        <v>171.03</v>
      </c>
      <c r="H607" s="192">
        <f t="shared" ref="H607:H615" si="161">IF(B607="","",F607*G607)</f>
        <v>4275.75</v>
      </c>
      <c r="I607" s="192" t="s">
        <v>12</v>
      </c>
      <c r="J607" s="192">
        <f t="shared" ref="J607" si="162">IF(E607="","",IF(I607=$G$4,(G607*(1+$H$4)),(G607*(1+$H$5))))</f>
        <v>212.41926000000001</v>
      </c>
      <c r="K607" s="192">
        <f t="shared" ref="K607:K615" si="163">ROUND((IF(C607="","",F607*J607)),2)</f>
        <v>5310.48</v>
      </c>
      <c r="L607" s="250">
        <f t="shared" ref="L607:L615" si="164">IF(B607="","",K607/$K$734)</f>
        <v>5.3467938788013874E-4</v>
      </c>
    </row>
    <row r="608" spans="1:12" s="3" customFormat="1" ht="25.5">
      <c r="A608" s="535" t="s">
        <v>2752</v>
      </c>
      <c r="B608" s="519" t="s">
        <v>2</v>
      </c>
      <c r="C608" s="519">
        <v>102474</v>
      </c>
      <c r="D608" s="536" t="s">
        <v>2686</v>
      </c>
      <c r="E608" s="519" t="s">
        <v>150</v>
      </c>
      <c r="F608" s="519">
        <f>(0.15*0.15*3*6)</f>
        <v>0.40500000000000003</v>
      </c>
      <c r="G608" s="520">
        <v>638.6</v>
      </c>
      <c r="H608" s="192">
        <f t="shared" si="161"/>
        <v>258.63300000000004</v>
      </c>
      <c r="I608" s="192" t="s">
        <v>12</v>
      </c>
      <c r="J608" s="192">
        <f t="shared" ref="J608:J615" si="165">IF(E608="","",IF(I608=$G$4,(G608*(1+$H$4)),(G608*(1+$H$5))))</f>
        <v>793.14120000000003</v>
      </c>
      <c r="K608" s="192">
        <f t="shared" si="163"/>
        <v>321.22000000000003</v>
      </c>
      <c r="L608" s="250">
        <f t="shared" si="164"/>
        <v>3.2341655175211692E-5</v>
      </c>
    </row>
    <row r="609" spans="1:12" s="3" customFormat="1" ht="25.5">
      <c r="A609" s="535" t="s">
        <v>2753</v>
      </c>
      <c r="B609" s="519" t="s">
        <v>2</v>
      </c>
      <c r="C609" s="519">
        <v>92760</v>
      </c>
      <c r="D609" s="536" t="s">
        <v>2687</v>
      </c>
      <c r="E609" s="519" t="s">
        <v>1171</v>
      </c>
      <c r="F609" s="519">
        <f>(3*4*6)*0.245</f>
        <v>17.64</v>
      </c>
      <c r="G609" s="520">
        <v>12.4</v>
      </c>
      <c r="H609" s="192">
        <f t="shared" si="161"/>
        <v>218.73600000000002</v>
      </c>
      <c r="I609" s="192" t="s">
        <v>12</v>
      </c>
      <c r="J609" s="192">
        <f t="shared" si="165"/>
        <v>15.4008</v>
      </c>
      <c r="K609" s="192">
        <f t="shared" si="163"/>
        <v>271.67</v>
      </c>
      <c r="L609" s="250">
        <f t="shared" si="164"/>
        <v>2.7352772123310379E-5</v>
      </c>
    </row>
    <row r="610" spans="1:12" s="3" customFormat="1" ht="25.5">
      <c r="A610" s="535" t="s">
        <v>2754</v>
      </c>
      <c r="B610" s="519" t="s">
        <v>2</v>
      </c>
      <c r="C610" s="519">
        <v>92767</v>
      </c>
      <c r="D610" s="536" t="s">
        <v>2688</v>
      </c>
      <c r="E610" s="519" t="s">
        <v>1171</v>
      </c>
      <c r="F610" s="519">
        <f>((3/0.2)*0.11*4)*0.109</f>
        <v>0.71939999999999993</v>
      </c>
      <c r="G610" s="520">
        <v>14.74</v>
      </c>
      <c r="H610" s="192">
        <f t="shared" si="161"/>
        <v>10.603955999999998</v>
      </c>
      <c r="I610" s="192" t="s">
        <v>12</v>
      </c>
      <c r="J610" s="192">
        <f t="shared" si="165"/>
        <v>18.307079999999999</v>
      </c>
      <c r="K610" s="192">
        <f t="shared" si="163"/>
        <v>13.17</v>
      </c>
      <c r="L610" s="250">
        <f t="shared" si="164"/>
        <v>1.3260058485073718E-6</v>
      </c>
    </row>
    <row r="611" spans="1:12" s="3" customFormat="1">
      <c r="A611" s="535" t="s">
        <v>2755</v>
      </c>
      <c r="B611" s="519" t="s">
        <v>2</v>
      </c>
      <c r="C611" s="519">
        <v>87878</v>
      </c>
      <c r="D611" s="537" t="s">
        <v>2689</v>
      </c>
      <c r="E611" s="519" t="s">
        <v>150</v>
      </c>
      <c r="F611" s="519">
        <v>50</v>
      </c>
      <c r="G611" s="520">
        <v>4.8499999999999996</v>
      </c>
      <c r="H611" s="192">
        <f t="shared" si="161"/>
        <v>242.49999999999997</v>
      </c>
      <c r="I611" s="192" t="s">
        <v>12</v>
      </c>
      <c r="J611" s="192">
        <f t="shared" si="165"/>
        <v>6.0236999999999998</v>
      </c>
      <c r="K611" s="192">
        <f t="shared" si="163"/>
        <v>301.19</v>
      </c>
      <c r="L611" s="250">
        <f t="shared" si="164"/>
        <v>3.0324958353222118E-5</v>
      </c>
    </row>
    <row r="612" spans="1:12" s="3" customFormat="1">
      <c r="A612" s="535" t="s">
        <v>2756</v>
      </c>
      <c r="B612" s="519" t="s">
        <v>2</v>
      </c>
      <c r="C612" s="519">
        <v>87527</v>
      </c>
      <c r="D612" s="537" t="s">
        <v>2690</v>
      </c>
      <c r="E612" s="519" t="s">
        <v>150</v>
      </c>
      <c r="F612" s="519">
        <v>50</v>
      </c>
      <c r="G612" s="520">
        <v>38.880000000000003</v>
      </c>
      <c r="H612" s="192">
        <f t="shared" si="161"/>
        <v>1944.0000000000002</v>
      </c>
      <c r="I612" s="192" t="s">
        <v>12</v>
      </c>
      <c r="J612" s="192">
        <f t="shared" si="165"/>
        <v>48.288960000000003</v>
      </c>
      <c r="K612" s="192">
        <f t="shared" si="163"/>
        <v>2414.4499999999998</v>
      </c>
      <c r="L612" s="250">
        <f t="shared" si="164"/>
        <v>2.4309603803558265E-4</v>
      </c>
    </row>
    <row r="613" spans="1:12" s="3" customFormat="1" ht="25.5">
      <c r="A613" s="535" t="s">
        <v>2757</v>
      </c>
      <c r="B613" s="519" t="s">
        <v>2692</v>
      </c>
      <c r="C613" s="519" t="s">
        <v>2691</v>
      </c>
      <c r="D613" s="536" t="s">
        <v>2693</v>
      </c>
      <c r="E613" s="519" t="s">
        <v>150</v>
      </c>
      <c r="F613" s="519">
        <v>25</v>
      </c>
      <c r="G613" s="520">
        <v>93.01</v>
      </c>
      <c r="H613" s="192">
        <f t="shared" si="161"/>
        <v>2325.25</v>
      </c>
      <c r="I613" s="192" t="s">
        <v>12</v>
      </c>
      <c r="J613" s="192">
        <f t="shared" si="165"/>
        <v>115.51842000000001</v>
      </c>
      <c r="K613" s="192">
        <f t="shared" si="163"/>
        <v>2887.96</v>
      </c>
      <c r="L613" s="250">
        <f t="shared" si="164"/>
        <v>2.9077083145446846E-4</v>
      </c>
    </row>
    <row r="614" spans="1:12" s="3" customFormat="1" ht="51">
      <c r="A614" s="535" t="s">
        <v>2758</v>
      </c>
      <c r="B614" s="519" t="s">
        <v>2</v>
      </c>
      <c r="C614" s="519">
        <v>90793</v>
      </c>
      <c r="D614" s="537" t="s">
        <v>2694</v>
      </c>
      <c r="E614" s="519" t="s">
        <v>167</v>
      </c>
      <c r="F614" s="519">
        <v>1</v>
      </c>
      <c r="G614" s="520">
        <v>956.38</v>
      </c>
      <c r="H614" s="192">
        <f t="shared" si="161"/>
        <v>956.38</v>
      </c>
      <c r="I614" s="192" t="s">
        <v>12</v>
      </c>
      <c r="J614" s="192">
        <f t="shared" si="165"/>
        <v>1187.8239599999999</v>
      </c>
      <c r="K614" s="192">
        <f t="shared" si="163"/>
        <v>1187.82</v>
      </c>
      <c r="L614" s="250">
        <f t="shared" si="164"/>
        <v>1.1959424958041202E-4</v>
      </c>
    </row>
    <row r="615" spans="1:12" s="3" customFormat="1" ht="38.25">
      <c r="A615" s="535" t="s">
        <v>2759</v>
      </c>
      <c r="B615" s="519" t="s">
        <v>2692</v>
      </c>
      <c r="C615" s="519" t="s">
        <v>2695</v>
      </c>
      <c r="D615" s="536" t="s">
        <v>2696</v>
      </c>
      <c r="E615" s="519" t="s">
        <v>167</v>
      </c>
      <c r="F615" s="519">
        <v>1</v>
      </c>
      <c r="G615" s="520">
        <v>233.92</v>
      </c>
      <c r="H615" s="192">
        <f t="shared" si="161"/>
        <v>233.92</v>
      </c>
      <c r="I615" s="192" t="s">
        <v>12</v>
      </c>
      <c r="J615" s="192">
        <f t="shared" si="165"/>
        <v>290.52864</v>
      </c>
      <c r="K615" s="192">
        <f t="shared" si="163"/>
        <v>290.52999999999997</v>
      </c>
      <c r="L615" s="250">
        <f t="shared" si="164"/>
        <v>2.9251668881309544E-5</v>
      </c>
    </row>
    <row r="616" spans="1:12" s="3" customFormat="1">
      <c r="A616" s="533" t="s">
        <v>2760</v>
      </c>
      <c r="B616" s="533"/>
      <c r="C616" s="533"/>
      <c r="D616" s="534" t="s">
        <v>2697</v>
      </c>
      <c r="E616" s="533"/>
      <c r="F616" s="533"/>
      <c r="G616" s="538"/>
      <c r="H616" s="538"/>
      <c r="I616" s="538"/>
      <c r="J616" s="538"/>
      <c r="K616" s="540">
        <f>SUM(K617:K622)</f>
        <v>2849.17</v>
      </c>
      <c r="L616" s="462">
        <f>SUM(L617:L622)</f>
        <v>2.8686530625601737E-4</v>
      </c>
    </row>
    <row r="617" spans="1:12" s="3" customFormat="1">
      <c r="A617" s="535" t="s">
        <v>2761</v>
      </c>
      <c r="B617" s="519" t="s">
        <v>2</v>
      </c>
      <c r="C617" s="519">
        <v>96114</v>
      </c>
      <c r="D617" s="539" t="s">
        <v>2698</v>
      </c>
      <c r="E617" s="519" t="s">
        <v>150</v>
      </c>
      <c r="F617" s="519">
        <v>3.78</v>
      </c>
      <c r="G617" s="520">
        <v>74.290000000000006</v>
      </c>
      <c r="H617" s="192">
        <f t="shared" ref="H617:H622" si="166">IF(B617="","",F617*G617)</f>
        <v>280.81619999999998</v>
      </c>
      <c r="I617" s="192" t="s">
        <v>12</v>
      </c>
      <c r="J617" s="192">
        <f t="shared" ref="J617:J622" si="167">IF(E617="","",IF(I617=$G$4,(G617*(1+$H$4)),(G617*(1+$H$5))))</f>
        <v>92.268180000000001</v>
      </c>
      <c r="K617" s="192">
        <f t="shared" ref="K617:K622" si="168">ROUND((IF(C617="","",F617*J617)),2)</f>
        <v>348.77</v>
      </c>
      <c r="L617" s="250">
        <f t="shared" ref="L617:L622" si="169">IF(B617="","",K617/$K$734)</f>
        <v>3.5115494288831896E-5</v>
      </c>
    </row>
    <row r="618" spans="1:12" s="3" customFormat="1">
      <c r="A618" s="535" t="s">
        <v>2762</v>
      </c>
      <c r="B618" s="519" t="s">
        <v>1917</v>
      </c>
      <c r="C618" s="519" t="s">
        <v>2699</v>
      </c>
      <c r="D618" s="537" t="s">
        <v>2700</v>
      </c>
      <c r="E618" s="519" t="s">
        <v>167</v>
      </c>
      <c r="F618" s="519">
        <v>1</v>
      </c>
      <c r="G618" s="520">
        <v>163.74</v>
      </c>
      <c r="H618" s="192">
        <f t="shared" si="166"/>
        <v>163.74</v>
      </c>
      <c r="I618" s="192" t="s">
        <v>12</v>
      </c>
      <c r="J618" s="192">
        <f t="shared" si="167"/>
        <v>203.36508000000001</v>
      </c>
      <c r="K618" s="192">
        <f t="shared" si="168"/>
        <v>203.37</v>
      </c>
      <c r="L618" s="250">
        <f t="shared" si="169"/>
        <v>2.0476067533101305E-5</v>
      </c>
    </row>
    <row r="619" spans="1:12" s="3" customFormat="1">
      <c r="A619" s="535" t="s">
        <v>2763</v>
      </c>
      <c r="B619" s="519" t="s">
        <v>2</v>
      </c>
      <c r="C619" s="519">
        <v>88488</v>
      </c>
      <c r="D619" s="539" t="s">
        <v>2701</v>
      </c>
      <c r="E619" s="519" t="s">
        <v>150</v>
      </c>
      <c r="F619" s="519">
        <v>3.78</v>
      </c>
      <c r="G619" s="520">
        <v>14.65</v>
      </c>
      <c r="H619" s="192">
        <f t="shared" si="166"/>
        <v>55.376999999999995</v>
      </c>
      <c r="I619" s="192" t="s">
        <v>12</v>
      </c>
      <c r="J619" s="192">
        <f t="shared" si="167"/>
        <v>18.1953</v>
      </c>
      <c r="K619" s="192">
        <f t="shared" si="168"/>
        <v>68.78</v>
      </c>
      <c r="L619" s="250">
        <f t="shared" si="169"/>
        <v>6.9250328215897519E-6</v>
      </c>
    </row>
    <row r="620" spans="1:12" s="3" customFormat="1" ht="25.5">
      <c r="A620" s="535" t="s">
        <v>2764</v>
      </c>
      <c r="B620" s="519" t="s">
        <v>2</v>
      </c>
      <c r="C620" s="519">
        <v>98555</v>
      </c>
      <c r="D620" s="539" t="s">
        <v>2702</v>
      </c>
      <c r="E620" s="519" t="s">
        <v>150</v>
      </c>
      <c r="F620" s="519">
        <v>3.78</v>
      </c>
      <c r="G620" s="520">
        <v>30.37</v>
      </c>
      <c r="H620" s="192">
        <f t="shared" si="166"/>
        <v>114.79859999999999</v>
      </c>
      <c r="I620" s="192" t="s">
        <v>12</v>
      </c>
      <c r="J620" s="192">
        <f t="shared" si="167"/>
        <v>37.719540000000002</v>
      </c>
      <c r="K620" s="192">
        <f t="shared" si="168"/>
        <v>142.58000000000001</v>
      </c>
      <c r="L620" s="250">
        <f t="shared" si="169"/>
        <v>1.4355498396369103E-5</v>
      </c>
    </row>
    <row r="621" spans="1:12" s="3" customFormat="1">
      <c r="A621" s="535" t="s">
        <v>2765</v>
      </c>
      <c r="B621" s="519" t="s">
        <v>2</v>
      </c>
      <c r="C621" s="519">
        <v>98671</v>
      </c>
      <c r="D621" s="537" t="s">
        <v>2703</v>
      </c>
      <c r="E621" s="519" t="s">
        <v>150</v>
      </c>
      <c r="F621" s="519">
        <v>3.78</v>
      </c>
      <c r="G621" s="520">
        <v>332.43</v>
      </c>
      <c r="H621" s="192">
        <f t="shared" si="166"/>
        <v>1256.5853999999999</v>
      </c>
      <c r="I621" s="192" t="s">
        <v>12</v>
      </c>
      <c r="J621" s="192">
        <f t="shared" si="167"/>
        <v>412.87806</v>
      </c>
      <c r="K621" s="192">
        <f t="shared" si="168"/>
        <v>1560.68</v>
      </c>
      <c r="L621" s="250">
        <f t="shared" si="169"/>
        <v>1.5713521698166173E-4</v>
      </c>
    </row>
    <row r="622" spans="1:12" s="3" customFormat="1">
      <c r="A622" s="535" t="s">
        <v>2766</v>
      </c>
      <c r="B622" s="519" t="s">
        <v>2</v>
      </c>
      <c r="C622" s="519">
        <v>98685</v>
      </c>
      <c r="D622" s="537" t="s">
        <v>2704</v>
      </c>
      <c r="E622" s="519" t="s">
        <v>180</v>
      </c>
      <c r="F622" s="519">
        <v>6.9</v>
      </c>
      <c r="G622" s="520">
        <v>61.26</v>
      </c>
      <c r="H622" s="192">
        <f t="shared" si="166"/>
        <v>422.69400000000002</v>
      </c>
      <c r="I622" s="192" t="s">
        <v>12</v>
      </c>
      <c r="J622" s="192">
        <f t="shared" si="167"/>
        <v>76.084919999999997</v>
      </c>
      <c r="K622" s="192">
        <f t="shared" si="168"/>
        <v>524.99</v>
      </c>
      <c r="L622" s="250">
        <f t="shared" si="169"/>
        <v>5.2857996234463562E-5</v>
      </c>
    </row>
    <row r="623" spans="1:12" s="3" customFormat="1">
      <c r="A623" s="533" t="s">
        <v>2767</v>
      </c>
      <c r="B623" s="533"/>
      <c r="C623" s="533"/>
      <c r="D623" s="534" t="s">
        <v>94</v>
      </c>
      <c r="E623" s="533"/>
      <c r="F623" s="533"/>
      <c r="G623" s="538"/>
      <c r="H623" s="538"/>
      <c r="I623" s="538"/>
      <c r="J623" s="538"/>
      <c r="K623" s="540">
        <f>SUM(K624:K642)</f>
        <v>5300.57</v>
      </c>
      <c r="L623" s="462">
        <f>SUM(L624:L642)</f>
        <v>5.3368161126975838E-4</v>
      </c>
    </row>
    <row r="624" spans="1:12" s="3" customFormat="1" ht="38.25">
      <c r="A624" s="535" t="s">
        <v>2768</v>
      </c>
      <c r="B624" s="519" t="s">
        <v>2706</v>
      </c>
      <c r="C624" s="519" t="s">
        <v>2705</v>
      </c>
      <c r="D624" s="536" t="s">
        <v>2707</v>
      </c>
      <c r="E624" s="519" t="s">
        <v>163</v>
      </c>
      <c r="F624" s="519">
        <v>3</v>
      </c>
      <c r="G624" s="520">
        <v>145.21</v>
      </c>
      <c r="H624" s="192">
        <f t="shared" ref="H624:H642" si="170">IF(B624="","",F624*G624)</f>
        <v>435.63</v>
      </c>
      <c r="I624" s="192" t="s">
        <v>12</v>
      </c>
      <c r="J624" s="192">
        <f t="shared" ref="J624:J642" si="171">IF(E624="","",IF(I624=$G$4,(G624*(1+$H$4)),(G624*(1+$H$5))))</f>
        <v>180.35082</v>
      </c>
      <c r="K624" s="192">
        <f t="shared" ref="K624:K642" si="172">ROUND((IF(C624="","",F624*J624)),2)</f>
        <v>541.04999999999995</v>
      </c>
      <c r="L624" s="250">
        <f t="shared" ref="L624:L642" si="173">IF(B624="","",K624/$K$734)</f>
        <v>5.4474978309408765E-5</v>
      </c>
    </row>
    <row r="625" spans="1:12" s="3" customFormat="1" ht="25.5">
      <c r="A625" s="535" t="s">
        <v>2769</v>
      </c>
      <c r="B625" s="519" t="s">
        <v>2</v>
      </c>
      <c r="C625" s="519">
        <v>89446</v>
      </c>
      <c r="D625" s="537" t="s">
        <v>2708</v>
      </c>
      <c r="E625" s="519" t="s">
        <v>180</v>
      </c>
      <c r="F625" s="519">
        <v>3</v>
      </c>
      <c r="G625" s="520">
        <v>5.08</v>
      </c>
      <c r="H625" s="192">
        <f t="shared" si="170"/>
        <v>15.24</v>
      </c>
      <c r="I625" s="192" t="s">
        <v>12</v>
      </c>
      <c r="J625" s="192">
        <f t="shared" si="171"/>
        <v>6.3093599999999999</v>
      </c>
      <c r="K625" s="192">
        <f t="shared" si="172"/>
        <v>18.93</v>
      </c>
      <c r="L625" s="250">
        <f t="shared" si="173"/>
        <v>1.9059446250755162E-6</v>
      </c>
    </row>
    <row r="626" spans="1:12" s="3" customFormat="1" ht="25.5">
      <c r="A626" s="535" t="s">
        <v>2770</v>
      </c>
      <c r="B626" s="519" t="s">
        <v>2</v>
      </c>
      <c r="C626" s="519">
        <v>89449</v>
      </c>
      <c r="D626" s="537" t="s">
        <v>2709</v>
      </c>
      <c r="E626" s="519" t="s">
        <v>180</v>
      </c>
      <c r="F626" s="519">
        <v>3</v>
      </c>
      <c r="G626" s="520">
        <v>17.02</v>
      </c>
      <c r="H626" s="192">
        <f t="shared" si="170"/>
        <v>51.06</v>
      </c>
      <c r="I626" s="192" t="s">
        <v>12</v>
      </c>
      <c r="J626" s="192">
        <f t="shared" si="171"/>
        <v>21.138839999999998</v>
      </c>
      <c r="K626" s="192">
        <f t="shared" si="172"/>
        <v>63.42</v>
      </c>
      <c r="L626" s="250">
        <f t="shared" si="173"/>
        <v>6.3853675711721731E-6</v>
      </c>
    </row>
    <row r="627" spans="1:12" s="3" customFormat="1" ht="25.5">
      <c r="A627" s="535" t="s">
        <v>2771</v>
      </c>
      <c r="B627" s="519" t="s">
        <v>2</v>
      </c>
      <c r="C627" s="519">
        <v>94794</v>
      </c>
      <c r="D627" s="536" t="s">
        <v>2710</v>
      </c>
      <c r="E627" s="519" t="s">
        <v>167</v>
      </c>
      <c r="F627" s="519">
        <v>1</v>
      </c>
      <c r="G627" s="520">
        <v>225.73</v>
      </c>
      <c r="H627" s="192">
        <f t="shared" si="170"/>
        <v>225.73</v>
      </c>
      <c r="I627" s="192" t="s">
        <v>12</v>
      </c>
      <c r="J627" s="192">
        <f t="shared" si="171"/>
        <v>280.35665999999998</v>
      </c>
      <c r="K627" s="192">
        <f t="shared" si="172"/>
        <v>280.36</v>
      </c>
      <c r="L627" s="250">
        <f t="shared" si="173"/>
        <v>2.8227714478931418E-5</v>
      </c>
    </row>
    <row r="628" spans="1:12" s="3" customFormat="1" ht="25.5">
      <c r="A628" s="535" t="s">
        <v>2772</v>
      </c>
      <c r="B628" s="519" t="s">
        <v>2</v>
      </c>
      <c r="C628" s="519">
        <v>89985</v>
      </c>
      <c r="D628" s="536" t="s">
        <v>2710</v>
      </c>
      <c r="E628" s="519" t="s">
        <v>167</v>
      </c>
      <c r="F628" s="519">
        <v>1</v>
      </c>
      <c r="G628" s="520">
        <v>120.73</v>
      </c>
      <c r="H628" s="192">
        <f t="shared" si="170"/>
        <v>120.73</v>
      </c>
      <c r="I628" s="192" t="s">
        <v>12</v>
      </c>
      <c r="J628" s="192">
        <f t="shared" si="171"/>
        <v>149.94666000000001</v>
      </c>
      <c r="K628" s="192">
        <f t="shared" si="172"/>
        <v>149.94999999999999</v>
      </c>
      <c r="L628" s="250">
        <f t="shared" si="173"/>
        <v>1.509753811569327E-5</v>
      </c>
    </row>
    <row r="629" spans="1:12" s="3" customFormat="1" ht="25.5">
      <c r="A629" s="535" t="s">
        <v>2773</v>
      </c>
      <c r="B629" s="519" t="s">
        <v>1917</v>
      </c>
      <c r="C629" s="519" t="s">
        <v>2711</v>
      </c>
      <c r="D629" s="536" t="s">
        <v>2712</v>
      </c>
      <c r="E629" s="519" t="s">
        <v>167</v>
      </c>
      <c r="F629" s="519">
        <v>1</v>
      </c>
      <c r="G629" s="520">
        <v>462.18</v>
      </c>
      <c r="H629" s="192">
        <f t="shared" si="170"/>
        <v>462.18</v>
      </c>
      <c r="I629" s="192" t="s">
        <v>12</v>
      </c>
      <c r="J629" s="192">
        <f t="shared" si="171"/>
        <v>574.02755999999999</v>
      </c>
      <c r="K629" s="192">
        <f t="shared" si="172"/>
        <v>574.03</v>
      </c>
      <c r="L629" s="250">
        <f t="shared" si="173"/>
        <v>5.7795530540522902E-5</v>
      </c>
    </row>
    <row r="630" spans="1:12" s="3" customFormat="1">
      <c r="A630" s="535" t="s">
        <v>2774</v>
      </c>
      <c r="B630" s="519" t="s">
        <v>2</v>
      </c>
      <c r="C630" s="519">
        <v>86883</v>
      </c>
      <c r="D630" s="536" t="s">
        <v>2713</v>
      </c>
      <c r="E630" s="519" t="s">
        <v>167</v>
      </c>
      <c r="F630" s="519">
        <v>1</v>
      </c>
      <c r="G630" s="520">
        <v>12.67</v>
      </c>
      <c r="H630" s="192">
        <f t="shared" si="170"/>
        <v>12.67</v>
      </c>
      <c r="I630" s="192" t="s">
        <v>12</v>
      </c>
      <c r="J630" s="192">
        <f t="shared" si="171"/>
        <v>15.736140000000001</v>
      </c>
      <c r="K630" s="192">
        <f t="shared" si="172"/>
        <v>15.74</v>
      </c>
      <c r="L630" s="250">
        <f t="shared" si="173"/>
        <v>1.5847632540247556E-6</v>
      </c>
    </row>
    <row r="631" spans="1:12" s="3" customFormat="1">
      <c r="A631" s="535" t="s">
        <v>2775</v>
      </c>
      <c r="B631" s="519" t="s">
        <v>2</v>
      </c>
      <c r="C631" s="519">
        <v>86877</v>
      </c>
      <c r="D631" s="536" t="s">
        <v>2714</v>
      </c>
      <c r="E631" s="519" t="s">
        <v>167</v>
      </c>
      <c r="F631" s="519">
        <v>1</v>
      </c>
      <c r="G631" s="520">
        <v>82.74</v>
      </c>
      <c r="H631" s="192">
        <f t="shared" si="170"/>
        <v>82.74</v>
      </c>
      <c r="I631" s="192" t="s">
        <v>12</v>
      </c>
      <c r="J631" s="192">
        <f t="shared" si="171"/>
        <v>102.76307999999999</v>
      </c>
      <c r="K631" s="192">
        <f t="shared" si="172"/>
        <v>102.76</v>
      </c>
      <c r="L631" s="250">
        <f t="shared" si="173"/>
        <v>1.0346268868080298E-5</v>
      </c>
    </row>
    <row r="632" spans="1:12" s="3" customFormat="1" ht="25.5">
      <c r="A632" s="535" t="s">
        <v>2776</v>
      </c>
      <c r="B632" s="519" t="s">
        <v>1917</v>
      </c>
      <c r="C632" s="519" t="s">
        <v>2715</v>
      </c>
      <c r="D632" s="536" t="s">
        <v>2716</v>
      </c>
      <c r="E632" s="519" t="s">
        <v>167</v>
      </c>
      <c r="F632" s="519">
        <v>1</v>
      </c>
      <c r="G632" s="520">
        <v>208.75</v>
      </c>
      <c r="H632" s="192">
        <f t="shared" si="170"/>
        <v>208.75</v>
      </c>
      <c r="I632" s="192" t="s">
        <v>12</v>
      </c>
      <c r="J632" s="192">
        <f t="shared" si="171"/>
        <v>259.26749999999998</v>
      </c>
      <c r="K632" s="192">
        <f t="shared" si="172"/>
        <v>259.27</v>
      </c>
      <c r="L632" s="250">
        <f t="shared" si="173"/>
        <v>2.6104292812642845E-5</v>
      </c>
    </row>
    <row r="633" spans="1:12" s="3" customFormat="1">
      <c r="A633" s="535" t="s">
        <v>2777</v>
      </c>
      <c r="B633" s="519" t="s">
        <v>2</v>
      </c>
      <c r="C633" s="519">
        <v>86887</v>
      </c>
      <c r="D633" s="536" t="s">
        <v>2717</v>
      </c>
      <c r="E633" s="519" t="s">
        <v>167</v>
      </c>
      <c r="F633" s="519">
        <v>1</v>
      </c>
      <c r="G633" s="520">
        <v>66.430000000000007</v>
      </c>
      <c r="H633" s="192">
        <f t="shared" si="170"/>
        <v>66.430000000000007</v>
      </c>
      <c r="I633" s="192" t="s">
        <v>12</v>
      </c>
      <c r="J633" s="192">
        <f t="shared" si="171"/>
        <v>82.506060000000005</v>
      </c>
      <c r="K633" s="192">
        <f t="shared" si="172"/>
        <v>82.51</v>
      </c>
      <c r="L633" s="250">
        <f t="shared" si="173"/>
        <v>8.3074216067079164E-6</v>
      </c>
    </row>
    <row r="634" spans="1:12" s="3" customFormat="1" ht="63.75">
      <c r="A634" s="535" t="s">
        <v>2778</v>
      </c>
      <c r="B634" s="519" t="s">
        <v>2</v>
      </c>
      <c r="C634" s="519">
        <v>104677</v>
      </c>
      <c r="D634" s="536" t="s">
        <v>2718</v>
      </c>
      <c r="E634" s="519" t="s">
        <v>163</v>
      </c>
      <c r="F634" s="519">
        <v>1</v>
      </c>
      <c r="G634" s="520">
        <v>657.32</v>
      </c>
      <c r="H634" s="192">
        <f t="shared" si="170"/>
        <v>657.32</v>
      </c>
      <c r="I634" s="192" t="s">
        <v>12</v>
      </c>
      <c r="J634" s="192">
        <f t="shared" si="171"/>
        <v>816.3914400000001</v>
      </c>
      <c r="K634" s="192">
        <f t="shared" si="172"/>
        <v>816.39</v>
      </c>
      <c r="L634" s="250">
        <f t="shared" si="173"/>
        <v>8.2197260035150584E-5</v>
      </c>
    </row>
    <row r="635" spans="1:12" s="3" customFormat="1" ht="25.5">
      <c r="A635" s="535" t="s">
        <v>2779</v>
      </c>
      <c r="B635" s="519" t="s">
        <v>2</v>
      </c>
      <c r="C635" s="519">
        <v>89711</v>
      </c>
      <c r="D635" s="537" t="s">
        <v>2719</v>
      </c>
      <c r="E635" s="519" t="s">
        <v>180</v>
      </c>
      <c r="F635" s="519">
        <v>3.3</v>
      </c>
      <c r="G635" s="520">
        <v>21.4</v>
      </c>
      <c r="H635" s="192">
        <f t="shared" si="170"/>
        <v>70.61999999999999</v>
      </c>
      <c r="I635" s="192" t="s">
        <v>12</v>
      </c>
      <c r="J635" s="192">
        <f t="shared" si="171"/>
        <v>26.578799999999998</v>
      </c>
      <c r="K635" s="192">
        <f t="shared" si="172"/>
        <v>87.71</v>
      </c>
      <c r="L635" s="250">
        <f t="shared" si="173"/>
        <v>8.8309774466652668E-6</v>
      </c>
    </row>
    <row r="636" spans="1:12" s="3" customFormat="1" ht="25.5">
      <c r="A636" s="535" t="s">
        <v>2780</v>
      </c>
      <c r="B636" s="519" t="s">
        <v>2</v>
      </c>
      <c r="C636" s="519">
        <v>89713</v>
      </c>
      <c r="D636" s="537" t="s">
        <v>2720</v>
      </c>
      <c r="E636" s="519" t="s">
        <v>180</v>
      </c>
      <c r="F636" s="519">
        <v>3.9</v>
      </c>
      <c r="G636" s="520">
        <v>33.82</v>
      </c>
      <c r="H636" s="192">
        <f t="shared" si="170"/>
        <v>131.898</v>
      </c>
      <c r="I636" s="192" t="s">
        <v>12</v>
      </c>
      <c r="J636" s="192">
        <f t="shared" si="171"/>
        <v>42.004440000000002</v>
      </c>
      <c r="K636" s="192">
        <f t="shared" si="172"/>
        <v>163.82</v>
      </c>
      <c r="L636" s="250">
        <f t="shared" si="173"/>
        <v>1.6494022634964132E-5</v>
      </c>
    </row>
    <row r="637" spans="1:12" s="3" customFormat="1" ht="25.5">
      <c r="A637" s="535" t="s">
        <v>2781</v>
      </c>
      <c r="B637" s="519" t="s">
        <v>2</v>
      </c>
      <c r="C637" s="519">
        <v>89714</v>
      </c>
      <c r="D637" s="537" t="s">
        <v>2721</v>
      </c>
      <c r="E637" s="519" t="s">
        <v>180</v>
      </c>
      <c r="F637" s="519">
        <v>7.3</v>
      </c>
      <c r="G637" s="520">
        <v>37.79</v>
      </c>
      <c r="H637" s="192">
        <f t="shared" si="170"/>
        <v>275.86699999999996</v>
      </c>
      <c r="I637" s="192" t="s">
        <v>12</v>
      </c>
      <c r="J637" s="192">
        <f t="shared" si="171"/>
        <v>46.935179999999995</v>
      </c>
      <c r="K637" s="192">
        <f t="shared" si="172"/>
        <v>342.63</v>
      </c>
      <c r="L637" s="250">
        <f t="shared" si="173"/>
        <v>3.4497295662420713E-5</v>
      </c>
    </row>
    <row r="638" spans="1:12" s="3" customFormat="1">
      <c r="A638" s="535" t="s">
        <v>2782</v>
      </c>
      <c r="B638" s="519" t="s">
        <v>2</v>
      </c>
      <c r="C638" s="519">
        <v>90440</v>
      </c>
      <c r="D638" s="536" t="s">
        <v>2722</v>
      </c>
      <c r="E638" s="519" t="s">
        <v>167</v>
      </c>
      <c r="F638" s="519">
        <v>1</v>
      </c>
      <c r="G638" s="520">
        <v>25.51</v>
      </c>
      <c r="H638" s="192">
        <f t="shared" si="170"/>
        <v>25.51</v>
      </c>
      <c r="I638" s="192" t="s">
        <v>12</v>
      </c>
      <c r="J638" s="192">
        <f t="shared" si="171"/>
        <v>31.683420000000002</v>
      </c>
      <c r="K638" s="192">
        <f t="shared" si="172"/>
        <v>31.68</v>
      </c>
      <c r="L638" s="250">
        <f t="shared" si="173"/>
        <v>3.1896632711247942E-6</v>
      </c>
    </row>
    <row r="639" spans="1:12" s="3" customFormat="1">
      <c r="A639" s="535" t="s">
        <v>2783</v>
      </c>
      <c r="B639" s="519" t="s">
        <v>2</v>
      </c>
      <c r="C639" s="519">
        <v>90440</v>
      </c>
      <c r="D639" s="536" t="s">
        <v>2723</v>
      </c>
      <c r="E639" s="519" t="s">
        <v>167</v>
      </c>
      <c r="F639" s="519">
        <v>1</v>
      </c>
      <c r="G639" s="520">
        <v>25.51</v>
      </c>
      <c r="H639" s="192">
        <f t="shared" si="170"/>
        <v>25.51</v>
      </c>
      <c r="I639" s="192" t="s">
        <v>12</v>
      </c>
      <c r="J639" s="192">
        <f t="shared" si="171"/>
        <v>31.683420000000002</v>
      </c>
      <c r="K639" s="192">
        <f t="shared" si="172"/>
        <v>31.68</v>
      </c>
      <c r="L639" s="250">
        <f t="shared" si="173"/>
        <v>3.1896632711247942E-6</v>
      </c>
    </row>
    <row r="640" spans="1:12" s="3" customFormat="1">
      <c r="A640" s="535" t="s">
        <v>2784</v>
      </c>
      <c r="B640" s="519" t="s">
        <v>2</v>
      </c>
      <c r="C640" s="519">
        <v>90441</v>
      </c>
      <c r="D640" s="536" t="s">
        <v>2724</v>
      </c>
      <c r="E640" s="519" t="s">
        <v>167</v>
      </c>
      <c r="F640" s="519">
        <v>1</v>
      </c>
      <c r="G640" s="520">
        <v>37.270000000000003</v>
      </c>
      <c r="H640" s="192">
        <f t="shared" si="170"/>
        <v>37.270000000000003</v>
      </c>
      <c r="I640" s="192" t="s">
        <v>12</v>
      </c>
      <c r="J640" s="192">
        <f t="shared" si="171"/>
        <v>46.289340000000003</v>
      </c>
      <c r="K640" s="192">
        <f t="shared" si="172"/>
        <v>46.29</v>
      </c>
      <c r="L640" s="250">
        <f t="shared" si="173"/>
        <v>4.6606538137742018E-6</v>
      </c>
    </row>
    <row r="641" spans="1:12" s="3" customFormat="1" ht="38.25">
      <c r="A641" s="535" t="s">
        <v>2785</v>
      </c>
      <c r="B641" s="519" t="s">
        <v>1917</v>
      </c>
      <c r="C641" s="519" t="s">
        <v>2725</v>
      </c>
      <c r="D641" s="536" t="s">
        <v>2726</v>
      </c>
      <c r="E641" s="519" t="s">
        <v>167</v>
      </c>
      <c r="F641" s="519">
        <v>1</v>
      </c>
      <c r="G641" s="520">
        <v>1203.8599999999999</v>
      </c>
      <c r="H641" s="192">
        <f t="shared" si="170"/>
        <v>1203.8599999999999</v>
      </c>
      <c r="I641" s="192" t="s">
        <v>12</v>
      </c>
      <c r="J641" s="192">
        <f t="shared" si="171"/>
        <v>1495.1941199999999</v>
      </c>
      <c r="K641" s="192">
        <f t="shared" si="172"/>
        <v>1495.19</v>
      </c>
      <c r="L641" s="250">
        <f t="shared" si="173"/>
        <v>1.5054143391266038E-4</v>
      </c>
    </row>
    <row r="642" spans="1:12" s="3" customFormat="1" ht="25.5">
      <c r="A642" s="535" t="s">
        <v>2786</v>
      </c>
      <c r="B642" s="519" t="s">
        <v>2692</v>
      </c>
      <c r="C642" s="519" t="s">
        <v>2727</v>
      </c>
      <c r="D642" s="536" t="s">
        <v>2728</v>
      </c>
      <c r="E642" s="519" t="s">
        <v>167</v>
      </c>
      <c r="F642" s="519">
        <v>1</v>
      </c>
      <c r="G642" s="520">
        <v>158.74</v>
      </c>
      <c r="H642" s="192">
        <f t="shared" si="170"/>
        <v>158.74</v>
      </c>
      <c r="I642" s="192" t="s">
        <v>12</v>
      </c>
      <c r="J642" s="192">
        <f t="shared" si="171"/>
        <v>197.15508</v>
      </c>
      <c r="K642" s="192">
        <f t="shared" si="172"/>
        <v>197.16</v>
      </c>
      <c r="L642" s="250">
        <f t="shared" si="173"/>
        <v>1.9850821039613773E-5</v>
      </c>
    </row>
    <row r="643" spans="1:12" s="3" customFormat="1">
      <c r="A643" s="533" t="s">
        <v>2787</v>
      </c>
      <c r="B643" s="533"/>
      <c r="C643" s="533"/>
      <c r="D643" s="534" t="s">
        <v>2729</v>
      </c>
      <c r="E643" s="533"/>
      <c r="F643" s="533"/>
      <c r="G643" s="538"/>
      <c r="H643" s="538"/>
      <c r="I643" s="538"/>
      <c r="J643" s="538"/>
      <c r="K643" s="538">
        <f>SUM(K644:K646)</f>
        <v>5263.69</v>
      </c>
      <c r="L643" s="541">
        <f>SUM(L644:L646)</f>
        <v>5.2996839215867632E-4</v>
      </c>
    </row>
    <row r="644" spans="1:12" s="3" customFormat="1" ht="25.5">
      <c r="A644" s="535" t="s">
        <v>2788</v>
      </c>
      <c r="B644" s="519" t="s">
        <v>2</v>
      </c>
      <c r="C644" s="519">
        <v>100868</v>
      </c>
      <c r="D644" s="536" t="s">
        <v>2730</v>
      </c>
      <c r="E644" s="519" t="s">
        <v>167</v>
      </c>
      <c r="F644" s="519">
        <v>2</v>
      </c>
      <c r="G644" s="520">
        <v>388.37</v>
      </c>
      <c r="H644" s="192">
        <f>IF(B644="","",F644*G644)</f>
        <v>776.74</v>
      </c>
      <c r="I644" s="192" t="s">
        <v>12</v>
      </c>
      <c r="J644" s="192">
        <f>IF(E644="","",IF(I644=$G$4,(G644*(1+$H$4)),(G644*(1+$H$5))))</f>
        <v>482.35554000000002</v>
      </c>
      <c r="K644" s="192">
        <f>ROUND((IF(C644="","",F644*J644)),2)</f>
        <v>964.71</v>
      </c>
      <c r="L644" s="250">
        <f>IF(B644="","",K644/$K$734)</f>
        <v>9.7130683531780303E-5</v>
      </c>
    </row>
    <row r="645" spans="1:12" s="3" customFormat="1" ht="51">
      <c r="A645" s="535" t="s">
        <v>2789</v>
      </c>
      <c r="B645" s="519" t="s">
        <v>2692</v>
      </c>
      <c r="C645" s="519" t="s">
        <v>2731</v>
      </c>
      <c r="D645" s="536" t="s">
        <v>2732</v>
      </c>
      <c r="E645" s="519" t="s">
        <v>167</v>
      </c>
      <c r="F645" s="519">
        <v>4</v>
      </c>
      <c r="G645" s="520">
        <v>734.34</v>
      </c>
      <c r="H645" s="192">
        <f>IF(B645="","",F645*G645)</f>
        <v>2937.36</v>
      </c>
      <c r="I645" s="192" t="s">
        <v>12</v>
      </c>
      <c r="J645" s="192">
        <f>IF(E645="","",IF(I645=$G$4,(G645*(1+$H$4)),(G645*(1+$H$5))))</f>
        <v>912.05028000000004</v>
      </c>
      <c r="K645" s="192">
        <f>ROUND((IF(C645="","",F645*J645)),2)</f>
        <v>3648.2</v>
      </c>
      <c r="L645" s="250">
        <f>IF(B645="","",K645/$K$734)</f>
        <v>3.6731469525623338E-4</v>
      </c>
    </row>
    <row r="646" spans="1:12" s="3" customFormat="1" ht="38.25">
      <c r="A646" s="535" t="s">
        <v>2790</v>
      </c>
      <c r="B646" s="519" t="s">
        <v>2</v>
      </c>
      <c r="C646" s="519">
        <v>36210</v>
      </c>
      <c r="D646" s="536" t="s">
        <v>2733</v>
      </c>
      <c r="E646" s="519" t="s">
        <v>167</v>
      </c>
      <c r="F646" s="519">
        <v>1</v>
      </c>
      <c r="G646" s="520">
        <v>523.98</v>
      </c>
      <c r="H646" s="192">
        <f>IF(B646="","",F646*G646)</f>
        <v>523.98</v>
      </c>
      <c r="I646" s="192" t="s">
        <v>12</v>
      </c>
      <c r="J646" s="192">
        <f>IF(E646="","",IF(I646=$G$4,(G646*(1+$H$4)),(G646*(1+$H$5))))</f>
        <v>650.78316000000007</v>
      </c>
      <c r="K646" s="192">
        <f>ROUND((IF(C646="","",F646*J646)),2)</f>
        <v>650.78</v>
      </c>
      <c r="L646" s="250">
        <f>IF(B646="","",K646/$K$734)</f>
        <v>6.5523013370662666E-5</v>
      </c>
    </row>
    <row r="647" spans="1:12" s="3" customFormat="1">
      <c r="A647" s="533" t="s">
        <v>2791</v>
      </c>
      <c r="B647" s="533"/>
      <c r="C647" s="533"/>
      <c r="D647" s="534" t="s">
        <v>2734</v>
      </c>
      <c r="E647" s="533"/>
      <c r="F647" s="533"/>
      <c r="G647" s="538"/>
      <c r="H647" s="538"/>
      <c r="I647" s="538"/>
      <c r="J647" s="538"/>
      <c r="K647" s="538">
        <f>SUM(K648:K658)</f>
        <v>1574.25</v>
      </c>
      <c r="L647" s="541">
        <f>SUM(L648:L658)</f>
        <v>1.5850149635631967E-4</v>
      </c>
    </row>
    <row r="648" spans="1:12" s="3" customFormat="1">
      <c r="A648" s="535" t="s">
        <v>2792</v>
      </c>
      <c r="B648" s="519" t="s">
        <v>2</v>
      </c>
      <c r="C648" s="519">
        <v>101877</v>
      </c>
      <c r="D648" s="537" t="s">
        <v>2735</v>
      </c>
      <c r="E648" s="519" t="s">
        <v>167</v>
      </c>
      <c r="F648" s="519">
        <v>1</v>
      </c>
      <c r="G648" s="520">
        <v>52.9</v>
      </c>
      <c r="H648" s="192">
        <f t="shared" ref="H648:H658" si="174">IF(B648="","",F648*G648)</f>
        <v>52.9</v>
      </c>
      <c r="I648" s="192" t="s">
        <v>12</v>
      </c>
      <c r="J648" s="192">
        <f t="shared" ref="J648:J658" si="175">IF(E648="","",IF(I648=$G$4,(G648*(1+$H$4)),(G648*(1+$H$5))))</f>
        <v>65.701799999999992</v>
      </c>
      <c r="K648" s="192">
        <f t="shared" ref="K648:K658" si="176">ROUND((IF(C648="","",F648*J648)),2)</f>
        <v>65.7</v>
      </c>
      <c r="L648" s="250">
        <f t="shared" ref="L648:L658" si="177">IF(B648="","",K648/$K$734)</f>
        <v>6.6149266702303967E-6</v>
      </c>
    </row>
    <row r="649" spans="1:12" s="3" customFormat="1">
      <c r="A649" s="535" t="s">
        <v>2793</v>
      </c>
      <c r="B649" s="519" t="s">
        <v>2</v>
      </c>
      <c r="C649" s="519">
        <v>101890</v>
      </c>
      <c r="D649" s="537" t="s">
        <v>2736</v>
      </c>
      <c r="E649" s="519" t="s">
        <v>167</v>
      </c>
      <c r="F649" s="519">
        <v>2</v>
      </c>
      <c r="G649" s="520">
        <v>23.77</v>
      </c>
      <c r="H649" s="192">
        <f t="shared" si="174"/>
        <v>47.54</v>
      </c>
      <c r="I649" s="192" t="s">
        <v>12</v>
      </c>
      <c r="J649" s="192">
        <f t="shared" si="175"/>
        <v>29.52234</v>
      </c>
      <c r="K649" s="192">
        <f t="shared" si="176"/>
        <v>59.04</v>
      </c>
      <c r="L649" s="250">
        <f t="shared" si="177"/>
        <v>5.9443724598234799E-6</v>
      </c>
    </row>
    <row r="650" spans="1:12" s="3" customFormat="1" ht="89.25">
      <c r="A650" s="535" t="s">
        <v>2794</v>
      </c>
      <c r="B650" s="519" t="s">
        <v>2692</v>
      </c>
      <c r="C650" s="519" t="s">
        <v>2737</v>
      </c>
      <c r="D650" s="537" t="s">
        <v>2738</v>
      </c>
      <c r="E650" s="519" t="s">
        <v>167</v>
      </c>
      <c r="F650" s="519">
        <v>1</v>
      </c>
      <c r="G650" s="520">
        <v>242.33</v>
      </c>
      <c r="H650" s="192">
        <f t="shared" si="174"/>
        <v>242.33</v>
      </c>
      <c r="I650" s="192" t="s">
        <v>12</v>
      </c>
      <c r="J650" s="192">
        <f t="shared" si="175"/>
        <v>300.97386</v>
      </c>
      <c r="K650" s="192">
        <f t="shared" si="176"/>
        <v>300.97000000000003</v>
      </c>
      <c r="L650" s="250">
        <f t="shared" si="177"/>
        <v>3.030280791383931E-5</v>
      </c>
    </row>
    <row r="651" spans="1:12" s="3" customFormat="1">
      <c r="A651" s="535" t="s">
        <v>2795</v>
      </c>
      <c r="B651" s="519" t="s">
        <v>2</v>
      </c>
      <c r="C651" s="519">
        <v>91953</v>
      </c>
      <c r="D651" s="537" t="s">
        <v>2739</v>
      </c>
      <c r="E651" s="519" t="s">
        <v>167</v>
      </c>
      <c r="F651" s="519">
        <v>1</v>
      </c>
      <c r="G651" s="520">
        <v>29.48</v>
      </c>
      <c r="H651" s="192">
        <f t="shared" si="174"/>
        <v>29.48</v>
      </c>
      <c r="I651" s="192" t="s">
        <v>12</v>
      </c>
      <c r="J651" s="192">
        <f t="shared" si="175"/>
        <v>36.614159999999998</v>
      </c>
      <c r="K651" s="192">
        <f t="shared" si="176"/>
        <v>36.61</v>
      </c>
      <c r="L651" s="250">
        <f t="shared" si="177"/>
        <v>3.6860344809305149E-6</v>
      </c>
    </row>
    <row r="652" spans="1:12" s="3" customFormat="1" ht="25.5">
      <c r="A652" s="535" t="s">
        <v>2796</v>
      </c>
      <c r="B652" s="519" t="s">
        <v>2</v>
      </c>
      <c r="C652" s="519">
        <v>91927</v>
      </c>
      <c r="D652" s="537" t="s">
        <v>2740</v>
      </c>
      <c r="E652" s="519" t="s">
        <v>180</v>
      </c>
      <c r="F652" s="519">
        <v>20</v>
      </c>
      <c r="G652" s="520">
        <v>4.22</v>
      </c>
      <c r="H652" s="192">
        <f t="shared" si="174"/>
        <v>84.399999999999991</v>
      </c>
      <c r="I652" s="192" t="s">
        <v>12</v>
      </c>
      <c r="J652" s="192">
        <f t="shared" si="175"/>
        <v>5.2412399999999995</v>
      </c>
      <c r="K652" s="192">
        <f t="shared" si="176"/>
        <v>104.82</v>
      </c>
      <c r="L652" s="250">
        <f t="shared" si="177"/>
        <v>1.055367752775571E-5</v>
      </c>
    </row>
    <row r="653" spans="1:12" s="3" customFormat="1" ht="63.75">
      <c r="A653" s="535" t="s">
        <v>2797</v>
      </c>
      <c r="B653" s="519" t="s">
        <v>2692</v>
      </c>
      <c r="C653" s="519" t="s">
        <v>2741</v>
      </c>
      <c r="D653" s="537" t="s">
        <v>2742</v>
      </c>
      <c r="E653" s="519" t="s">
        <v>167</v>
      </c>
      <c r="F653" s="519">
        <v>1</v>
      </c>
      <c r="G653" s="520">
        <v>151.35</v>
      </c>
      <c r="H653" s="192">
        <f t="shared" si="174"/>
        <v>151.35</v>
      </c>
      <c r="I653" s="192" t="s">
        <v>12</v>
      </c>
      <c r="J653" s="192">
        <f t="shared" si="175"/>
        <v>187.97669999999999</v>
      </c>
      <c r="K653" s="192">
        <f t="shared" si="176"/>
        <v>187.98</v>
      </c>
      <c r="L653" s="250">
        <f t="shared" si="177"/>
        <v>1.8926543614458293E-5</v>
      </c>
    </row>
    <row r="654" spans="1:12" s="3" customFormat="1" ht="38.25">
      <c r="A654" s="535" t="s">
        <v>2798</v>
      </c>
      <c r="B654" s="519" t="s">
        <v>2692</v>
      </c>
      <c r="C654" s="519" t="s">
        <v>2743</v>
      </c>
      <c r="D654" s="536" t="s">
        <v>2744</v>
      </c>
      <c r="E654" s="519" t="s">
        <v>167</v>
      </c>
      <c r="F654" s="519">
        <v>1</v>
      </c>
      <c r="G654" s="520">
        <v>191.5</v>
      </c>
      <c r="H654" s="192">
        <f t="shared" si="174"/>
        <v>191.5</v>
      </c>
      <c r="I654" s="192" t="s">
        <v>12</v>
      </c>
      <c r="J654" s="192">
        <f t="shared" si="175"/>
        <v>237.84299999999999</v>
      </c>
      <c r="K654" s="192">
        <f t="shared" si="176"/>
        <v>237.84</v>
      </c>
      <c r="L654" s="250">
        <f t="shared" si="177"/>
        <v>2.3946638649126294E-5</v>
      </c>
    </row>
    <row r="655" spans="1:12" s="3" customFormat="1" ht="25.5">
      <c r="A655" s="535" t="s">
        <v>2799</v>
      </c>
      <c r="B655" s="519" t="s">
        <v>2</v>
      </c>
      <c r="C655" s="519">
        <v>91925</v>
      </c>
      <c r="D655" s="537" t="s">
        <v>2745</v>
      </c>
      <c r="E655" s="519" t="s">
        <v>180</v>
      </c>
      <c r="F655" s="519">
        <v>20</v>
      </c>
      <c r="G655" s="520">
        <v>3.13</v>
      </c>
      <c r="H655" s="192">
        <f t="shared" si="174"/>
        <v>62.599999999999994</v>
      </c>
      <c r="I655" s="192" t="s">
        <v>12</v>
      </c>
      <c r="J655" s="192">
        <f t="shared" si="175"/>
        <v>3.8874599999999999</v>
      </c>
      <c r="K655" s="192">
        <f t="shared" si="176"/>
        <v>77.75</v>
      </c>
      <c r="L655" s="250">
        <f t="shared" si="177"/>
        <v>7.8281666455161852E-6</v>
      </c>
    </row>
    <row r="656" spans="1:12" s="3" customFormat="1" ht="89.25">
      <c r="A656" s="535" t="s">
        <v>2800</v>
      </c>
      <c r="B656" s="519" t="s">
        <v>2692</v>
      </c>
      <c r="C656" s="519" t="s">
        <v>2746</v>
      </c>
      <c r="D656" s="536" t="s">
        <v>2747</v>
      </c>
      <c r="E656" s="519" t="s">
        <v>167</v>
      </c>
      <c r="F656" s="519">
        <v>1</v>
      </c>
      <c r="G656" s="520">
        <v>276.39999999999998</v>
      </c>
      <c r="H656" s="192">
        <f t="shared" si="174"/>
        <v>276.39999999999998</v>
      </c>
      <c r="I656" s="192" t="s">
        <v>12</v>
      </c>
      <c r="J656" s="192">
        <f t="shared" si="175"/>
        <v>343.28879999999998</v>
      </c>
      <c r="K656" s="192">
        <f t="shared" si="176"/>
        <v>343.29</v>
      </c>
      <c r="L656" s="250">
        <f t="shared" si="177"/>
        <v>3.456374698056915E-5</v>
      </c>
    </row>
    <row r="657" spans="1:12" s="3" customFormat="1">
      <c r="A657" s="535" t="s">
        <v>2801</v>
      </c>
      <c r="B657" s="519" t="s">
        <v>2</v>
      </c>
      <c r="C657" s="519">
        <v>92002</v>
      </c>
      <c r="D657" s="537" t="s">
        <v>2748</v>
      </c>
      <c r="E657" s="519" t="s">
        <v>167</v>
      </c>
      <c r="F657" s="519">
        <v>1</v>
      </c>
      <c r="G657" s="520">
        <v>44.63</v>
      </c>
      <c r="H657" s="192">
        <f t="shared" si="174"/>
        <v>44.63</v>
      </c>
      <c r="I657" s="192" t="s">
        <v>12</v>
      </c>
      <c r="J657" s="192">
        <f t="shared" si="175"/>
        <v>55.430460000000004</v>
      </c>
      <c r="K657" s="192">
        <f t="shared" si="176"/>
        <v>55.43</v>
      </c>
      <c r="L657" s="250">
        <f t="shared" si="177"/>
        <v>5.5809038863146254E-6</v>
      </c>
    </row>
    <row r="658" spans="1:12" s="3" customFormat="1" ht="25.5">
      <c r="A658" s="535" t="s">
        <v>2802</v>
      </c>
      <c r="B658" s="519" t="s">
        <v>2</v>
      </c>
      <c r="C658" s="519">
        <v>91927</v>
      </c>
      <c r="D658" s="537" t="s">
        <v>2749</v>
      </c>
      <c r="E658" s="519" t="s">
        <v>180</v>
      </c>
      <c r="F658" s="519">
        <v>20</v>
      </c>
      <c r="G658" s="520">
        <v>4.22</v>
      </c>
      <c r="H658" s="192">
        <f t="shared" si="174"/>
        <v>84.399999999999991</v>
      </c>
      <c r="I658" s="192" t="s">
        <v>12</v>
      </c>
      <c r="J658" s="192">
        <f t="shared" si="175"/>
        <v>5.2412399999999995</v>
      </c>
      <c r="K658" s="192">
        <f t="shared" si="176"/>
        <v>104.82</v>
      </c>
      <c r="L658" s="250">
        <f t="shared" si="177"/>
        <v>1.055367752775571E-5</v>
      </c>
    </row>
    <row r="659" spans="1:12" s="3" customFormat="1">
      <c r="A659" s="544"/>
      <c r="B659" s="545"/>
      <c r="C659" s="545"/>
      <c r="D659" s="546"/>
      <c r="E659" s="545"/>
      <c r="F659" s="545"/>
      <c r="G659" s="547"/>
      <c r="H659" s="529"/>
      <c r="I659" s="529"/>
      <c r="J659" s="529"/>
      <c r="K659" s="529"/>
      <c r="L659" s="530"/>
    </row>
    <row r="660" spans="1:12" s="3" customFormat="1">
      <c r="A660" s="548">
        <v>11</v>
      </c>
      <c r="B660" s="548"/>
      <c r="C660" s="548"/>
      <c r="D660" s="549" t="s">
        <v>2830</v>
      </c>
      <c r="E660" s="550" t="s">
        <v>34</v>
      </c>
      <c r="F660" s="551" t="s">
        <v>34</v>
      </c>
      <c r="G660" s="552"/>
      <c r="H660" s="552"/>
      <c r="I660" s="552"/>
      <c r="J660" s="552"/>
      <c r="K660" s="571">
        <f>K661+K675+K679+K681+K685+K703+K706+K708+K714+K716+K720+K724+K726</f>
        <v>304870.87999999995</v>
      </c>
      <c r="L660" s="578">
        <f>L661+L675+L679+L681+L685+L703+L706+L708+L714+L716+L720+L724+L726</f>
        <v>3.0695563395564854E-2</v>
      </c>
    </row>
    <row r="661" spans="1:12" s="3" customFormat="1">
      <c r="A661" s="553" t="s">
        <v>2816</v>
      </c>
      <c r="B661" s="554"/>
      <c r="C661" s="554"/>
      <c r="D661" s="555" t="s">
        <v>38</v>
      </c>
      <c r="E661" s="556" t="s">
        <v>34</v>
      </c>
      <c r="F661" s="557" t="s">
        <v>34</v>
      </c>
      <c r="G661" s="558" t="s">
        <v>34</v>
      </c>
      <c r="H661" s="558" t="s">
        <v>34</v>
      </c>
      <c r="I661" s="558" t="s">
        <v>34</v>
      </c>
      <c r="J661" s="558" t="s">
        <v>34</v>
      </c>
      <c r="K661" s="565">
        <f>SUM(K662:K674)</f>
        <v>1573.6599999999999</v>
      </c>
      <c r="L661" s="566">
        <f>SUM(L662:L674)</f>
        <v>1.5844209290524758E-4</v>
      </c>
    </row>
    <row r="662" spans="1:12" s="3" customFormat="1">
      <c r="A662" s="559" t="s">
        <v>2817</v>
      </c>
      <c r="B662" s="559" t="s">
        <v>2</v>
      </c>
      <c r="C662" s="560">
        <v>34653</v>
      </c>
      <c r="D662" s="561" t="s">
        <v>2803</v>
      </c>
      <c r="E662" s="562" t="s">
        <v>1932</v>
      </c>
      <c r="F662" s="563">
        <v>4</v>
      </c>
      <c r="G662" s="564">
        <v>14.28</v>
      </c>
      <c r="H662" s="192">
        <f t="shared" ref="H662" si="178">IF(B662="","",F662*G662)</f>
        <v>57.12</v>
      </c>
      <c r="I662" s="192" t="s">
        <v>12</v>
      </c>
      <c r="J662" s="192">
        <f t="shared" ref="J662" si="179">IF(E662="","",IF(I662=$G$4,(G662*(1+$H$4)),(G662*(1+$H$5))))</f>
        <v>17.735759999999999</v>
      </c>
      <c r="K662" s="192">
        <f t="shared" ref="K662" si="180">ROUND((IF(C662="","",F662*J662)),2)</f>
        <v>70.94</v>
      </c>
      <c r="L662" s="250">
        <f t="shared" ref="L662" si="181">IF(B662="","",K662/$K$734)</f>
        <v>7.1425098628028053E-6</v>
      </c>
    </row>
    <row r="663" spans="1:12" s="3" customFormat="1">
      <c r="A663" s="559" t="s">
        <v>2818</v>
      </c>
      <c r="B663" s="559" t="s">
        <v>2</v>
      </c>
      <c r="C663" s="560">
        <v>2674</v>
      </c>
      <c r="D663" s="561" t="s">
        <v>2804</v>
      </c>
      <c r="E663" s="562" t="s">
        <v>1401</v>
      </c>
      <c r="F663" s="563">
        <v>24</v>
      </c>
      <c r="G663" s="564">
        <v>5.43</v>
      </c>
      <c r="H663" s="192">
        <f t="shared" ref="H663:H674" si="182">IF(B663="","",F663*G663)</f>
        <v>130.32</v>
      </c>
      <c r="I663" s="192" t="s">
        <v>12</v>
      </c>
      <c r="J663" s="192">
        <f t="shared" ref="J663:J674" si="183">IF(E663="","",IF(I663=$G$4,(G663*(1+$H$4)),(G663*(1+$H$5))))</f>
        <v>6.7440599999999993</v>
      </c>
      <c r="K663" s="192">
        <f t="shared" ref="K663:K674" si="184">ROUND((IF(C663="","",F663*J663)),2)</f>
        <v>161.86000000000001</v>
      </c>
      <c r="L663" s="250">
        <f t="shared" ref="L663:L674" si="185">IF(B663="","",K663/$K$734)</f>
        <v>1.6296682356826365E-5</v>
      </c>
    </row>
    <row r="664" spans="1:12" s="3" customFormat="1">
      <c r="A664" s="559" t="s">
        <v>2819</v>
      </c>
      <c r="B664" s="559" t="s">
        <v>2</v>
      </c>
      <c r="C664" s="560">
        <v>1891</v>
      </c>
      <c r="D664" s="561" t="s">
        <v>2805</v>
      </c>
      <c r="E664" s="562" t="s">
        <v>1932</v>
      </c>
      <c r="F664" s="563">
        <v>24</v>
      </c>
      <c r="G664" s="564">
        <v>1.38</v>
      </c>
      <c r="H664" s="192">
        <f t="shared" si="182"/>
        <v>33.119999999999997</v>
      </c>
      <c r="I664" s="192" t="s">
        <v>12</v>
      </c>
      <c r="J664" s="192">
        <f t="shared" si="183"/>
        <v>1.7139599999999999</v>
      </c>
      <c r="K664" s="192">
        <f t="shared" si="184"/>
        <v>41.14</v>
      </c>
      <c r="L664" s="250">
        <f t="shared" si="185"/>
        <v>4.1421321645856698E-6</v>
      </c>
    </row>
    <row r="665" spans="1:12" s="3" customFormat="1">
      <c r="A665" s="559" t="s">
        <v>2820</v>
      </c>
      <c r="B665" s="559" t="s">
        <v>2</v>
      </c>
      <c r="C665" s="560">
        <v>1879</v>
      </c>
      <c r="D665" s="561" t="s">
        <v>2806</v>
      </c>
      <c r="E665" s="562" t="s">
        <v>1932</v>
      </c>
      <c r="F665" s="563">
        <v>5</v>
      </c>
      <c r="G665" s="564">
        <v>3.18</v>
      </c>
      <c r="H665" s="192">
        <f t="shared" si="182"/>
        <v>15.9</v>
      </c>
      <c r="I665" s="192" t="s">
        <v>12</v>
      </c>
      <c r="J665" s="192">
        <f t="shared" si="183"/>
        <v>3.94956</v>
      </c>
      <c r="K665" s="192">
        <f t="shared" si="184"/>
        <v>19.75</v>
      </c>
      <c r="L665" s="250">
        <f t="shared" si="185"/>
        <v>1.9885053536841756E-6</v>
      </c>
    </row>
    <row r="666" spans="1:12" s="3" customFormat="1">
      <c r="A666" s="559" t="s">
        <v>2821</v>
      </c>
      <c r="B666" s="559" t="s">
        <v>2</v>
      </c>
      <c r="C666" s="560">
        <v>39331</v>
      </c>
      <c r="D666" s="561" t="s">
        <v>2807</v>
      </c>
      <c r="E666" s="562" t="s">
        <v>1932</v>
      </c>
      <c r="F666" s="563">
        <v>2</v>
      </c>
      <c r="G666" s="564">
        <v>11.29</v>
      </c>
      <c r="H666" s="192">
        <f t="shared" si="182"/>
        <v>22.58</v>
      </c>
      <c r="I666" s="192" t="s">
        <v>12</v>
      </c>
      <c r="J666" s="192">
        <f t="shared" si="183"/>
        <v>14.022179999999999</v>
      </c>
      <c r="K666" s="192">
        <f t="shared" si="184"/>
        <v>28.04</v>
      </c>
      <c r="L666" s="250">
        <f t="shared" si="185"/>
        <v>2.823174183154647E-6</v>
      </c>
    </row>
    <row r="667" spans="1:12" s="3" customFormat="1">
      <c r="A667" s="559" t="s">
        <v>2822</v>
      </c>
      <c r="B667" s="559" t="s">
        <v>2</v>
      </c>
      <c r="C667" s="560">
        <v>39340</v>
      </c>
      <c r="D667" s="561" t="s">
        <v>2808</v>
      </c>
      <c r="E667" s="562" t="s">
        <v>1932</v>
      </c>
      <c r="F667" s="563">
        <v>2</v>
      </c>
      <c r="G667" s="564">
        <v>13.57</v>
      </c>
      <c r="H667" s="192">
        <f t="shared" si="182"/>
        <v>27.14</v>
      </c>
      <c r="I667" s="192" t="s">
        <v>12</v>
      </c>
      <c r="J667" s="192">
        <f t="shared" si="183"/>
        <v>16.853940000000001</v>
      </c>
      <c r="K667" s="192">
        <f t="shared" si="184"/>
        <v>33.71</v>
      </c>
      <c r="L667" s="250">
        <f t="shared" si="185"/>
        <v>3.3940514163389146E-6</v>
      </c>
    </row>
    <row r="668" spans="1:12" s="3" customFormat="1">
      <c r="A668" s="559" t="s">
        <v>2823</v>
      </c>
      <c r="B668" s="559" t="s">
        <v>2</v>
      </c>
      <c r="C668" s="560">
        <v>39334</v>
      </c>
      <c r="D668" s="561" t="s">
        <v>2809</v>
      </c>
      <c r="E668" s="562" t="s">
        <v>1932</v>
      </c>
      <c r="F668" s="563">
        <v>2</v>
      </c>
      <c r="G668" s="564">
        <v>10.119999999999999</v>
      </c>
      <c r="H668" s="192">
        <f t="shared" si="182"/>
        <v>20.239999999999998</v>
      </c>
      <c r="I668" s="192" t="s">
        <v>12</v>
      </c>
      <c r="J668" s="192">
        <f t="shared" si="183"/>
        <v>12.569039999999999</v>
      </c>
      <c r="K668" s="192">
        <f t="shared" si="184"/>
        <v>25.14</v>
      </c>
      <c r="L668" s="250">
        <f t="shared" si="185"/>
        <v>2.5311911185630467E-6</v>
      </c>
    </row>
    <row r="669" spans="1:12" s="3" customFormat="1">
      <c r="A669" s="559" t="s">
        <v>2824</v>
      </c>
      <c r="B669" s="559" t="s">
        <v>2</v>
      </c>
      <c r="C669" s="560">
        <v>39346</v>
      </c>
      <c r="D669" s="561" t="s">
        <v>2810</v>
      </c>
      <c r="E669" s="562" t="s">
        <v>1932</v>
      </c>
      <c r="F669" s="563">
        <v>1</v>
      </c>
      <c r="G669" s="564">
        <v>3.82</v>
      </c>
      <c r="H669" s="192">
        <f t="shared" si="182"/>
        <v>3.82</v>
      </c>
      <c r="I669" s="192" t="s">
        <v>12</v>
      </c>
      <c r="J669" s="192">
        <f t="shared" si="183"/>
        <v>4.74444</v>
      </c>
      <c r="K669" s="192">
        <f t="shared" si="184"/>
        <v>4.74</v>
      </c>
      <c r="L669" s="250">
        <f t="shared" si="185"/>
        <v>4.7724128488420213E-7</v>
      </c>
    </row>
    <row r="670" spans="1:12" s="3" customFormat="1">
      <c r="A670" s="559" t="s">
        <v>2825</v>
      </c>
      <c r="B670" s="559" t="s">
        <v>2</v>
      </c>
      <c r="C670" s="560">
        <v>39352</v>
      </c>
      <c r="D670" s="561" t="s">
        <v>2811</v>
      </c>
      <c r="E670" s="562" t="s">
        <v>1932</v>
      </c>
      <c r="F670" s="563">
        <v>3</v>
      </c>
      <c r="G670" s="564">
        <v>3.82</v>
      </c>
      <c r="H670" s="192">
        <f t="shared" si="182"/>
        <v>11.459999999999999</v>
      </c>
      <c r="I670" s="192" t="s">
        <v>12</v>
      </c>
      <c r="J670" s="192">
        <f t="shared" si="183"/>
        <v>4.74444</v>
      </c>
      <c r="K670" s="192">
        <f t="shared" si="184"/>
        <v>14.23</v>
      </c>
      <c r="L670" s="250">
        <f t="shared" si="185"/>
        <v>1.4327306928063705E-6</v>
      </c>
    </row>
    <row r="671" spans="1:12" s="3" customFormat="1">
      <c r="A671" s="559" t="s">
        <v>2826</v>
      </c>
      <c r="B671" s="559" t="s">
        <v>2</v>
      </c>
      <c r="C671" s="560">
        <v>39350</v>
      </c>
      <c r="D671" s="561" t="s">
        <v>2812</v>
      </c>
      <c r="E671" s="562" t="s">
        <v>1932</v>
      </c>
      <c r="F671" s="563">
        <v>1</v>
      </c>
      <c r="G671" s="564">
        <v>4.1100000000000003</v>
      </c>
      <c r="H671" s="192">
        <f t="shared" si="182"/>
        <v>4.1100000000000003</v>
      </c>
      <c r="I671" s="192" t="s">
        <v>12</v>
      </c>
      <c r="J671" s="192">
        <f t="shared" si="183"/>
        <v>5.1046200000000006</v>
      </c>
      <c r="K671" s="192">
        <f t="shared" si="184"/>
        <v>5.0999999999999996</v>
      </c>
      <c r="L671" s="250">
        <f t="shared" si="185"/>
        <v>5.1348745841971114E-7</v>
      </c>
    </row>
    <row r="672" spans="1:12" s="3" customFormat="1">
      <c r="A672" s="559" t="s">
        <v>2827</v>
      </c>
      <c r="B672" s="559" t="s">
        <v>2</v>
      </c>
      <c r="C672" s="560">
        <v>39385</v>
      </c>
      <c r="D672" s="561" t="s">
        <v>2813</v>
      </c>
      <c r="E672" s="562" t="s">
        <v>1932</v>
      </c>
      <c r="F672" s="563">
        <v>1</v>
      </c>
      <c r="G672" s="564">
        <v>17.23</v>
      </c>
      <c r="H672" s="192">
        <f t="shared" si="182"/>
        <v>17.23</v>
      </c>
      <c r="I672" s="192" t="s">
        <v>12</v>
      </c>
      <c r="J672" s="192">
        <f t="shared" si="183"/>
        <v>21.399660000000001</v>
      </c>
      <c r="K672" s="192">
        <f t="shared" si="184"/>
        <v>21.4</v>
      </c>
      <c r="L672" s="250">
        <f t="shared" si="185"/>
        <v>2.1546336490552584E-6</v>
      </c>
    </row>
    <row r="673" spans="1:12" s="3" customFormat="1" ht="30">
      <c r="A673" s="559" t="s">
        <v>2828</v>
      </c>
      <c r="B673" s="559" t="s">
        <v>2</v>
      </c>
      <c r="C673" s="560">
        <v>1022</v>
      </c>
      <c r="D673" s="561" t="s">
        <v>2814</v>
      </c>
      <c r="E673" s="562" t="s">
        <v>1401</v>
      </c>
      <c r="F673" s="563">
        <v>200</v>
      </c>
      <c r="G673" s="564">
        <v>2.23</v>
      </c>
      <c r="H673" s="192">
        <f t="shared" si="182"/>
        <v>446</v>
      </c>
      <c r="I673" s="192" t="s">
        <v>12</v>
      </c>
      <c r="J673" s="192">
        <f t="shared" si="183"/>
        <v>2.76966</v>
      </c>
      <c r="K673" s="192">
        <f t="shared" si="184"/>
        <v>553.92999999999995</v>
      </c>
      <c r="L673" s="250">
        <f t="shared" si="185"/>
        <v>5.5771785851456979E-5</v>
      </c>
    </row>
    <row r="674" spans="1:12" s="3" customFormat="1">
      <c r="A674" s="559" t="s">
        <v>2829</v>
      </c>
      <c r="B674" s="559" t="s">
        <v>2</v>
      </c>
      <c r="C674" s="560">
        <v>39598</v>
      </c>
      <c r="D674" s="561" t="s">
        <v>2815</v>
      </c>
      <c r="E674" s="562" t="s">
        <v>1401</v>
      </c>
      <c r="F674" s="563">
        <v>100</v>
      </c>
      <c r="G674" s="564">
        <v>4.78</v>
      </c>
      <c r="H674" s="192">
        <f t="shared" si="182"/>
        <v>478</v>
      </c>
      <c r="I674" s="192" t="s">
        <v>12</v>
      </c>
      <c r="J674" s="192">
        <f t="shared" si="183"/>
        <v>5.9367600000000005</v>
      </c>
      <c r="K674" s="192">
        <f t="shared" si="184"/>
        <v>593.67999999999995</v>
      </c>
      <c r="L674" s="250">
        <f t="shared" si="185"/>
        <v>5.9773967512669433E-5</v>
      </c>
    </row>
    <row r="675" spans="1:12" s="3" customFormat="1">
      <c r="A675" s="553" t="s">
        <v>2845</v>
      </c>
      <c r="B675" s="554"/>
      <c r="C675" s="554"/>
      <c r="D675" s="555" t="s">
        <v>2831</v>
      </c>
      <c r="E675" s="556" t="s">
        <v>34</v>
      </c>
      <c r="F675" s="557" t="s">
        <v>34</v>
      </c>
      <c r="G675" s="558" t="s">
        <v>34</v>
      </c>
      <c r="H675" s="558" t="s">
        <v>34</v>
      </c>
      <c r="I675" s="558" t="s">
        <v>34</v>
      </c>
      <c r="J675" s="558" t="s">
        <v>34</v>
      </c>
      <c r="K675" s="565">
        <f>SUM(K676:K678)</f>
        <v>405.45000000000005</v>
      </c>
      <c r="L675" s="566">
        <f>SUM(L676:L678)</f>
        <v>4.0822252944367041E-5</v>
      </c>
    </row>
    <row r="676" spans="1:12" s="3" customFormat="1">
      <c r="A676" s="559" t="s">
        <v>2846</v>
      </c>
      <c r="B676" s="559" t="s">
        <v>2706</v>
      </c>
      <c r="C676" s="559" t="s">
        <v>2832</v>
      </c>
      <c r="D676" s="561" t="s">
        <v>2833</v>
      </c>
      <c r="E676" s="562" t="s">
        <v>1932</v>
      </c>
      <c r="F676" s="563">
        <v>1</v>
      </c>
      <c r="G676" s="567">
        <v>40.055</v>
      </c>
      <c r="H676" s="192">
        <f t="shared" ref="H676" si="186">IF(B676="","",F676*G676)</f>
        <v>40.055</v>
      </c>
      <c r="I676" s="192" t="s">
        <v>12</v>
      </c>
      <c r="J676" s="192">
        <f t="shared" ref="J676" si="187">IF(E676="","",IF(I676=$G$4,(G676*(1+$H$4)),(G676*(1+$H$5))))</f>
        <v>49.748309999999996</v>
      </c>
      <c r="K676" s="192">
        <f t="shared" ref="K676" si="188">ROUND((IF(C676="","",F676*J676)),2)</f>
        <v>49.75</v>
      </c>
      <c r="L676" s="250">
        <f>IF(B676="","",K676/$K$734)</f>
        <v>5.0090198149765942E-6</v>
      </c>
    </row>
    <row r="677" spans="1:12" s="3" customFormat="1">
      <c r="A677" s="559" t="s">
        <v>2847</v>
      </c>
      <c r="B677" s="559" t="s">
        <v>2706</v>
      </c>
      <c r="C677" s="559" t="s">
        <v>2834</v>
      </c>
      <c r="D677" s="561" t="s">
        <v>2835</v>
      </c>
      <c r="E677" s="562" t="s">
        <v>1932</v>
      </c>
      <c r="F677" s="563">
        <v>1</v>
      </c>
      <c r="G677" s="567">
        <v>131.68</v>
      </c>
      <c r="H677" s="192">
        <f t="shared" ref="H677:H678" si="189">IF(B677="","",F677*G677)</f>
        <v>131.68</v>
      </c>
      <c r="I677" s="192" t="s">
        <v>12</v>
      </c>
      <c r="J677" s="192">
        <f t="shared" ref="J677:J678" si="190">IF(E677="","",IF(I677=$G$4,(G677*(1+$H$4)),(G677*(1+$H$5))))</f>
        <v>163.54656</v>
      </c>
      <c r="K677" s="192">
        <f t="shared" ref="K677:K678" si="191">ROUND((IF(C677="","",F677*J677)),2)</f>
        <v>163.55000000000001</v>
      </c>
      <c r="L677" s="250">
        <f>IF(B677="","",K677/$K$734)</f>
        <v>1.6466838004812503E-5</v>
      </c>
    </row>
    <row r="678" spans="1:12" s="3" customFormat="1">
      <c r="A678" s="559" t="s">
        <v>2848</v>
      </c>
      <c r="B678" s="559" t="s">
        <v>2706</v>
      </c>
      <c r="C678" s="559" t="s">
        <v>1695</v>
      </c>
      <c r="D678" s="561" t="s">
        <v>2836</v>
      </c>
      <c r="E678" s="562" t="s">
        <v>1932</v>
      </c>
      <c r="F678" s="563">
        <v>1</v>
      </c>
      <c r="G678" s="567">
        <v>154.71</v>
      </c>
      <c r="H678" s="192">
        <f t="shared" si="189"/>
        <v>154.71</v>
      </c>
      <c r="I678" s="192" t="s">
        <v>12</v>
      </c>
      <c r="J678" s="192">
        <f t="shared" si="190"/>
        <v>192.14982000000001</v>
      </c>
      <c r="K678" s="192">
        <f t="shared" si="191"/>
        <v>192.15</v>
      </c>
      <c r="L678" s="250">
        <f>IF(B678="","",K678/$K$734)</f>
        <v>1.9346395124577941E-5</v>
      </c>
    </row>
    <row r="679" spans="1:12" s="3" customFormat="1">
      <c r="A679" s="553" t="s">
        <v>2849</v>
      </c>
      <c r="B679" s="554"/>
      <c r="C679" s="554"/>
      <c r="D679" s="555" t="s">
        <v>2837</v>
      </c>
      <c r="E679" s="556" t="s">
        <v>34</v>
      </c>
      <c r="F679" s="557" t="s">
        <v>34</v>
      </c>
      <c r="G679" s="558" t="s">
        <v>34</v>
      </c>
      <c r="H679" s="558" t="s">
        <v>34</v>
      </c>
      <c r="I679" s="558" t="s">
        <v>34</v>
      </c>
      <c r="J679" s="558" t="s">
        <v>34</v>
      </c>
      <c r="K679" s="565">
        <f>K680</f>
        <v>1315.03</v>
      </c>
      <c r="L679" s="566">
        <f>L680</f>
        <v>1.3240223773444565E-4</v>
      </c>
    </row>
    <row r="680" spans="1:12" s="3" customFormat="1">
      <c r="A680" s="559" t="s">
        <v>2850</v>
      </c>
      <c r="B680" s="559" t="s">
        <v>2</v>
      </c>
      <c r="C680" s="559">
        <v>93402</v>
      </c>
      <c r="D680" s="561" t="s">
        <v>2838</v>
      </c>
      <c r="E680" s="562" t="s">
        <v>2087</v>
      </c>
      <c r="F680" s="563">
        <v>4</v>
      </c>
      <c r="G680" s="563">
        <v>264.7</v>
      </c>
      <c r="H680" s="192">
        <f t="shared" ref="H680" si="192">IF(B680="","",F680*G680)</f>
        <v>1058.8</v>
      </c>
      <c r="I680" s="192" t="s">
        <v>12</v>
      </c>
      <c r="J680" s="192">
        <f t="shared" ref="J680" si="193">IF(E680="","",IF(I680=$G$4,(G680*(1+$H$4)),(G680*(1+$H$5))))</f>
        <v>328.75739999999996</v>
      </c>
      <c r="K680" s="192">
        <f t="shared" ref="K680" si="194">ROUND((IF(C680="","",F680*J680)),2)</f>
        <v>1315.03</v>
      </c>
      <c r="L680" s="250">
        <f>IF(B680="","",K680/$K$734)</f>
        <v>1.3240223773444565E-4</v>
      </c>
    </row>
    <row r="681" spans="1:12" s="3" customFormat="1">
      <c r="A681" s="553" t="s">
        <v>2851</v>
      </c>
      <c r="B681" s="554"/>
      <c r="C681" s="554"/>
      <c r="D681" s="555" t="s">
        <v>2839</v>
      </c>
      <c r="E681" s="556" t="s">
        <v>34</v>
      </c>
      <c r="F681" s="557" t="s">
        <v>34</v>
      </c>
      <c r="G681" s="558" t="s">
        <v>34</v>
      </c>
      <c r="H681" s="558" t="s">
        <v>34</v>
      </c>
      <c r="I681" s="558" t="s">
        <v>34</v>
      </c>
      <c r="J681" s="558" t="s">
        <v>34</v>
      </c>
      <c r="K681" s="565">
        <f>SUM(K682:K684)</f>
        <v>9052.77</v>
      </c>
      <c r="L681" s="566">
        <f>SUM(L682:L684)</f>
        <v>9.1146742332513906E-4</v>
      </c>
    </row>
    <row r="682" spans="1:12" s="3" customFormat="1">
      <c r="A682" s="559" t="s">
        <v>2852</v>
      </c>
      <c r="B682" s="559" t="s">
        <v>3</v>
      </c>
      <c r="C682" s="559" t="s">
        <v>153</v>
      </c>
      <c r="D682" s="561" t="s">
        <v>2840</v>
      </c>
      <c r="E682" s="562" t="s">
        <v>2270</v>
      </c>
      <c r="F682" s="563">
        <v>3</v>
      </c>
      <c r="G682" s="567">
        <v>2173.6</v>
      </c>
      <c r="H682" s="192">
        <f t="shared" ref="H682" si="195">IF(B682="","",F682*G682)</f>
        <v>6520.7999999999993</v>
      </c>
      <c r="I682" s="192" t="s">
        <v>12</v>
      </c>
      <c r="J682" s="192">
        <f t="shared" ref="J682" si="196">IF(E682="","",IF(I682=$G$4,(G682*(1+$H$4)),(G682*(1+$H$5))))</f>
        <v>2699.6111999999998</v>
      </c>
      <c r="K682" s="192">
        <f t="shared" ref="K682" si="197">ROUND((IF(C682="","",F682*J682)),2)</f>
        <v>8098.83</v>
      </c>
      <c r="L682" s="250">
        <f t="shared" ref="L682" si="198">IF(B682="","",K682/$K$734)</f>
        <v>8.1542110448496266E-4</v>
      </c>
    </row>
    <row r="683" spans="1:12" s="3" customFormat="1">
      <c r="A683" s="559" t="s">
        <v>2853</v>
      </c>
      <c r="B683" s="559" t="s">
        <v>3</v>
      </c>
      <c r="C683" s="16" t="s">
        <v>2841</v>
      </c>
      <c r="D683" s="561" t="s">
        <v>2842</v>
      </c>
      <c r="E683" s="562" t="s">
        <v>2249</v>
      </c>
      <c r="F683" s="563">
        <v>7.6401450000000004</v>
      </c>
      <c r="G683" s="567">
        <v>39.520000000000003</v>
      </c>
      <c r="H683" s="192">
        <f t="shared" ref="H683:H684" si="199">IF(B683="","",F683*G683)</f>
        <v>301.93853040000005</v>
      </c>
      <c r="I683" s="192" t="s">
        <v>12</v>
      </c>
      <c r="J683" s="192">
        <f t="shared" ref="J683:J684" si="200">IF(E683="","",IF(I683=$G$4,(G683*(1+$H$4)),(G683*(1+$H$5))))</f>
        <v>49.083840000000002</v>
      </c>
      <c r="K683" s="192">
        <f t="shared" ref="K683:K684" si="201">ROUND((IF(C683="","",F683*J683)),2)</f>
        <v>375.01</v>
      </c>
      <c r="L683" s="250">
        <f t="shared" ref="L683:L684" si="202">IF(B683="","",K683/$K$734)</f>
        <v>3.7757437604308995E-5</v>
      </c>
    </row>
    <row r="684" spans="1:12" s="3" customFormat="1">
      <c r="A684" s="559" t="s">
        <v>2854</v>
      </c>
      <c r="B684" s="559" t="s">
        <v>3</v>
      </c>
      <c r="C684" s="559" t="s">
        <v>2843</v>
      </c>
      <c r="D684" s="561" t="s">
        <v>2844</v>
      </c>
      <c r="E684" s="562" t="s">
        <v>2249</v>
      </c>
      <c r="F684" s="563">
        <v>7.6401450000000004</v>
      </c>
      <c r="G684" s="567">
        <v>61.01</v>
      </c>
      <c r="H684" s="192">
        <f t="shared" si="199"/>
        <v>466.12524645000002</v>
      </c>
      <c r="I684" s="192" t="s">
        <v>12</v>
      </c>
      <c r="J684" s="192">
        <f t="shared" si="200"/>
        <v>75.774419999999992</v>
      </c>
      <c r="K684" s="192">
        <f t="shared" si="201"/>
        <v>578.92999999999995</v>
      </c>
      <c r="L684" s="250">
        <f t="shared" si="202"/>
        <v>5.8288881235867327E-5</v>
      </c>
    </row>
    <row r="685" spans="1:12" s="3" customFormat="1">
      <c r="A685" s="553" t="s">
        <v>2883</v>
      </c>
      <c r="B685" s="554"/>
      <c r="C685" s="554"/>
      <c r="D685" s="555" t="s">
        <v>2855</v>
      </c>
      <c r="E685" s="556"/>
      <c r="F685" s="557"/>
      <c r="G685" s="558"/>
      <c r="H685" s="558"/>
      <c r="I685" s="558"/>
      <c r="J685" s="558"/>
      <c r="K685" s="565">
        <f>SUM(K686:K702)</f>
        <v>27621.52</v>
      </c>
      <c r="L685" s="566">
        <f>SUM(L686:L702)</f>
        <v>2.7810400200959247E-3</v>
      </c>
    </row>
    <row r="686" spans="1:12" s="3" customFormat="1">
      <c r="A686" s="559" t="s">
        <v>2884</v>
      </c>
      <c r="B686" s="559" t="s">
        <v>2</v>
      </c>
      <c r="C686" s="559">
        <v>92802</v>
      </c>
      <c r="D686" s="561" t="s">
        <v>2856</v>
      </c>
      <c r="E686" s="562" t="s">
        <v>2857</v>
      </c>
      <c r="F686" s="563">
        <v>351</v>
      </c>
      <c r="G686" s="567">
        <v>9.09</v>
      </c>
      <c r="H686" s="192">
        <f t="shared" ref="H686" si="203">IF(B686="","",F686*G686)</f>
        <v>3190.59</v>
      </c>
      <c r="I686" s="192" t="s">
        <v>12</v>
      </c>
      <c r="J686" s="192">
        <f t="shared" ref="J686" si="204">IF(E686="","",IF(I686=$G$4,(G686*(1+$H$4)),(G686*(1+$H$5))))</f>
        <v>11.28978</v>
      </c>
      <c r="K686" s="192">
        <f t="shared" ref="K686" si="205">ROUND((IF(C686="","",F686*J686)),2)</f>
        <v>3962.71</v>
      </c>
      <c r="L686" s="250">
        <f t="shared" ref="L686" si="206">IF(B686="","",K686/$K$734)</f>
        <v>3.9898076203026935E-4</v>
      </c>
    </row>
    <row r="687" spans="1:12" s="3" customFormat="1">
      <c r="A687" s="559" t="s">
        <v>2885</v>
      </c>
      <c r="B687" s="559" t="s">
        <v>2</v>
      </c>
      <c r="C687" s="559">
        <v>92799</v>
      </c>
      <c r="D687" s="561" t="s">
        <v>2858</v>
      </c>
      <c r="E687" s="562" t="s">
        <v>2857</v>
      </c>
      <c r="F687" s="563">
        <v>18.432000000000002</v>
      </c>
      <c r="G687" s="567">
        <v>10.32</v>
      </c>
      <c r="H687" s="192">
        <f t="shared" ref="H687:H702" si="207">IF(B687="","",F687*G687)</f>
        <v>190.21824000000004</v>
      </c>
      <c r="I687" s="192" t="s">
        <v>12</v>
      </c>
      <c r="J687" s="192">
        <f t="shared" ref="J687:J702" si="208">IF(E687="","",IF(I687=$G$4,(G687*(1+$H$4)),(G687*(1+$H$5))))</f>
        <v>12.81744</v>
      </c>
      <c r="K687" s="192">
        <f t="shared" ref="K687:K702" si="209">ROUND((IF(C687="","",F687*J687)),2)</f>
        <v>236.25</v>
      </c>
      <c r="L687" s="250">
        <f t="shared" ref="L687:L702" si="210">IF(B687="","",K687/$K$734)</f>
        <v>2.3786551382677796E-5</v>
      </c>
    </row>
    <row r="688" spans="1:12" s="3" customFormat="1" ht="30">
      <c r="A688" s="559" t="s">
        <v>2886</v>
      </c>
      <c r="B688" s="559" t="s">
        <v>2</v>
      </c>
      <c r="C688" s="559">
        <v>103675</v>
      </c>
      <c r="D688" s="561" t="s">
        <v>2859</v>
      </c>
      <c r="E688" s="562" t="s">
        <v>2249</v>
      </c>
      <c r="F688" s="563">
        <v>2.8319999999999999</v>
      </c>
      <c r="G688" s="567">
        <v>692.87</v>
      </c>
      <c r="H688" s="192">
        <f t="shared" si="207"/>
        <v>1962.2078399999998</v>
      </c>
      <c r="I688" s="192" t="s">
        <v>12</v>
      </c>
      <c r="J688" s="192">
        <f t="shared" si="208"/>
        <v>860.54453999999998</v>
      </c>
      <c r="K688" s="192">
        <f t="shared" si="209"/>
        <v>2437.06</v>
      </c>
      <c r="L688" s="250">
        <f t="shared" si="210"/>
        <v>2.453724991012434E-4</v>
      </c>
    </row>
    <row r="689" spans="1:12" s="3" customFormat="1">
      <c r="A689" s="559" t="s">
        <v>2887</v>
      </c>
      <c r="B689" s="559" t="s">
        <v>2</v>
      </c>
      <c r="C689" s="559">
        <v>97082</v>
      </c>
      <c r="D689" s="561" t="s">
        <v>2860</v>
      </c>
      <c r="E689" s="562" t="s">
        <v>2249</v>
      </c>
      <c r="F689" s="563">
        <v>1.8800000000000001</v>
      </c>
      <c r="G689" s="567">
        <v>59.27</v>
      </c>
      <c r="H689" s="192">
        <f t="shared" si="207"/>
        <v>111.42760000000001</v>
      </c>
      <c r="I689" s="192" t="s">
        <v>12</v>
      </c>
      <c r="J689" s="192">
        <f t="shared" si="208"/>
        <v>73.613340000000008</v>
      </c>
      <c r="K689" s="192">
        <f t="shared" si="209"/>
        <v>138.38999999999999</v>
      </c>
      <c r="L689" s="250">
        <f t="shared" si="210"/>
        <v>1.3933633209941926E-5</v>
      </c>
    </row>
    <row r="690" spans="1:12" s="3" customFormat="1">
      <c r="A690" s="559" t="s">
        <v>2888</v>
      </c>
      <c r="B690" s="559" t="s">
        <v>2</v>
      </c>
      <c r="C690" s="559">
        <v>97083</v>
      </c>
      <c r="D690" s="561" t="s">
        <v>2861</v>
      </c>
      <c r="E690" s="562" t="s">
        <v>2184</v>
      </c>
      <c r="F690" s="563">
        <v>1.8800000000000001</v>
      </c>
      <c r="G690" s="567">
        <v>3.23</v>
      </c>
      <c r="H690" s="192">
        <f t="shared" si="207"/>
        <v>6.0724</v>
      </c>
      <c r="I690" s="192" t="s">
        <v>12</v>
      </c>
      <c r="J690" s="192">
        <f t="shared" si="208"/>
        <v>4.01166</v>
      </c>
      <c r="K690" s="192">
        <f t="shared" si="209"/>
        <v>7.54</v>
      </c>
      <c r="L690" s="250">
        <f t="shared" si="210"/>
        <v>7.5915596793816121E-7</v>
      </c>
    </row>
    <row r="691" spans="1:12" s="3" customFormat="1">
      <c r="A691" s="559" t="s">
        <v>2889</v>
      </c>
      <c r="B691" s="559" t="s">
        <v>2</v>
      </c>
      <c r="C691" s="559">
        <v>97086</v>
      </c>
      <c r="D691" s="561" t="s">
        <v>2862</v>
      </c>
      <c r="E691" s="562" t="s">
        <v>2184</v>
      </c>
      <c r="F691" s="563">
        <v>3.5</v>
      </c>
      <c r="G691" s="567">
        <v>141.63</v>
      </c>
      <c r="H691" s="192">
        <f t="shared" si="207"/>
        <v>495.70499999999998</v>
      </c>
      <c r="I691" s="192" t="s">
        <v>12</v>
      </c>
      <c r="J691" s="192">
        <f t="shared" si="208"/>
        <v>175.90446</v>
      </c>
      <c r="K691" s="192">
        <f t="shared" si="209"/>
        <v>615.66999999999996</v>
      </c>
      <c r="L691" s="250">
        <f t="shared" si="210"/>
        <v>6.1988004612796775E-5</v>
      </c>
    </row>
    <row r="692" spans="1:12" s="3" customFormat="1">
      <c r="A692" s="559" t="s">
        <v>2890</v>
      </c>
      <c r="B692" s="559" t="s">
        <v>2</v>
      </c>
      <c r="C692" s="559">
        <v>97087</v>
      </c>
      <c r="D692" s="561" t="s">
        <v>2863</v>
      </c>
      <c r="E692" s="562" t="s">
        <v>2879</v>
      </c>
      <c r="F692" s="563">
        <v>18.88</v>
      </c>
      <c r="G692" s="567">
        <v>2.58</v>
      </c>
      <c r="H692" s="192">
        <f t="shared" si="207"/>
        <v>48.7104</v>
      </c>
      <c r="I692" s="192" t="s">
        <v>12</v>
      </c>
      <c r="J692" s="192">
        <f t="shared" si="208"/>
        <v>3.2043599999999999</v>
      </c>
      <c r="K692" s="192">
        <f t="shared" si="209"/>
        <v>60.5</v>
      </c>
      <c r="L692" s="250">
        <f t="shared" si="210"/>
        <v>6.0913708302730446E-6</v>
      </c>
    </row>
    <row r="693" spans="1:12" s="3" customFormat="1">
      <c r="A693" s="559" t="s">
        <v>2891</v>
      </c>
      <c r="B693" s="559" t="s">
        <v>2</v>
      </c>
      <c r="C693" s="559">
        <v>96620</v>
      </c>
      <c r="D693" s="561" t="s">
        <v>2864</v>
      </c>
      <c r="E693" s="562" t="s">
        <v>2249</v>
      </c>
      <c r="F693" s="563">
        <v>0.94399999999999995</v>
      </c>
      <c r="G693" s="567">
        <v>748.29</v>
      </c>
      <c r="H693" s="192">
        <f t="shared" si="207"/>
        <v>706.38575999999989</v>
      </c>
      <c r="I693" s="192" t="s">
        <v>12</v>
      </c>
      <c r="J693" s="192">
        <f t="shared" si="208"/>
        <v>929.37617999999998</v>
      </c>
      <c r="K693" s="192">
        <f t="shared" si="209"/>
        <v>877.33</v>
      </c>
      <c r="L693" s="250">
        <f t="shared" si="210"/>
        <v>8.8332931744189257E-5</v>
      </c>
    </row>
    <row r="694" spans="1:12" s="3" customFormat="1">
      <c r="A694" s="559" t="s">
        <v>2892</v>
      </c>
      <c r="B694" s="559" t="s">
        <v>2</v>
      </c>
      <c r="C694" s="559">
        <v>98531</v>
      </c>
      <c r="D694" s="561" t="s">
        <v>2865</v>
      </c>
      <c r="E694" s="562" t="s">
        <v>2866</v>
      </c>
      <c r="F694" s="563">
        <v>1</v>
      </c>
      <c r="G694" s="567">
        <v>379.31</v>
      </c>
      <c r="H694" s="192">
        <f t="shared" si="207"/>
        <v>379.31</v>
      </c>
      <c r="I694" s="192" t="s">
        <v>12</v>
      </c>
      <c r="J694" s="192">
        <f t="shared" si="208"/>
        <v>471.10302000000001</v>
      </c>
      <c r="K694" s="192">
        <f t="shared" si="209"/>
        <v>471.1</v>
      </c>
      <c r="L694" s="250">
        <f t="shared" si="210"/>
        <v>4.7432145423828615E-5</v>
      </c>
    </row>
    <row r="695" spans="1:12" s="3" customFormat="1">
      <c r="A695" s="559" t="s">
        <v>2893</v>
      </c>
      <c r="B695" s="559" t="s">
        <v>2</v>
      </c>
      <c r="C695" s="559">
        <v>98527</v>
      </c>
      <c r="D695" s="561" t="s">
        <v>2867</v>
      </c>
      <c r="E695" s="562" t="s">
        <v>2866</v>
      </c>
      <c r="F695" s="563">
        <v>1</v>
      </c>
      <c r="G695" s="567">
        <v>219.24</v>
      </c>
      <c r="H695" s="192">
        <f t="shared" si="207"/>
        <v>219.24</v>
      </c>
      <c r="I695" s="192" t="s">
        <v>12</v>
      </c>
      <c r="J695" s="192">
        <f t="shared" si="208"/>
        <v>272.29608000000002</v>
      </c>
      <c r="K695" s="192">
        <f t="shared" si="209"/>
        <v>272.3</v>
      </c>
      <c r="L695" s="250">
        <f t="shared" si="210"/>
        <v>2.7416202926997522E-5</v>
      </c>
    </row>
    <row r="696" spans="1:12" s="3" customFormat="1">
      <c r="A696" s="559" t="s">
        <v>2894</v>
      </c>
      <c r="B696" s="559" t="s">
        <v>2</v>
      </c>
      <c r="C696" s="559">
        <v>94342</v>
      </c>
      <c r="D696" s="561" t="s">
        <v>2868</v>
      </c>
      <c r="E696" s="562" t="s">
        <v>2249</v>
      </c>
      <c r="F696" s="563">
        <v>0.79257299999999997</v>
      </c>
      <c r="G696" s="567">
        <v>101.71</v>
      </c>
      <c r="H696" s="192">
        <f t="shared" si="207"/>
        <v>80.612599829999994</v>
      </c>
      <c r="I696" s="192" t="s">
        <v>12</v>
      </c>
      <c r="J696" s="192">
        <f t="shared" si="208"/>
        <v>126.32382</v>
      </c>
      <c r="K696" s="192">
        <f t="shared" si="209"/>
        <v>100.12</v>
      </c>
      <c r="L696" s="250">
        <f t="shared" si="210"/>
        <v>1.0080463595486566E-5</v>
      </c>
    </row>
    <row r="697" spans="1:12" s="3" customFormat="1">
      <c r="A697" s="559" t="s">
        <v>2895</v>
      </c>
      <c r="B697" s="559" t="s">
        <v>2</v>
      </c>
      <c r="C697" s="559">
        <v>96522</v>
      </c>
      <c r="D697" s="561" t="s">
        <v>2869</v>
      </c>
      <c r="E697" s="562" t="s">
        <v>2249</v>
      </c>
      <c r="F697" s="563">
        <v>2.9026548246399999</v>
      </c>
      <c r="G697" s="567">
        <v>138.01</v>
      </c>
      <c r="H697" s="192">
        <f t="shared" si="207"/>
        <v>400.59539234856635</v>
      </c>
      <c r="I697" s="192" t="s">
        <v>12</v>
      </c>
      <c r="J697" s="192">
        <f t="shared" si="208"/>
        <v>171.40841999999998</v>
      </c>
      <c r="K697" s="192">
        <f t="shared" si="209"/>
        <v>497.54</v>
      </c>
      <c r="L697" s="250">
        <f t="shared" si="210"/>
        <v>5.0094225502381001E-5</v>
      </c>
    </row>
    <row r="698" spans="1:12" s="3" customFormat="1">
      <c r="A698" s="559" t="s">
        <v>2896</v>
      </c>
      <c r="B698" s="559" t="s">
        <v>2</v>
      </c>
      <c r="C698" s="568">
        <v>102739</v>
      </c>
      <c r="D698" s="569" t="s">
        <v>2870</v>
      </c>
      <c r="E698" s="562" t="s">
        <v>1401</v>
      </c>
      <c r="F698" s="563">
        <v>2</v>
      </c>
      <c r="G698" s="567">
        <v>3607.92</v>
      </c>
      <c r="H698" s="192">
        <f t="shared" si="207"/>
        <v>7215.84</v>
      </c>
      <c r="I698" s="192" t="s">
        <v>12</v>
      </c>
      <c r="J698" s="192">
        <f t="shared" si="208"/>
        <v>4481.0366400000003</v>
      </c>
      <c r="K698" s="192">
        <f t="shared" si="209"/>
        <v>8962.07</v>
      </c>
      <c r="L698" s="250">
        <f t="shared" si="210"/>
        <v>9.0233540127049815E-4</v>
      </c>
    </row>
    <row r="699" spans="1:12" s="3" customFormat="1">
      <c r="A699" s="559" t="s">
        <v>2897</v>
      </c>
      <c r="B699" s="559" t="s">
        <v>3</v>
      </c>
      <c r="C699" s="559" t="s">
        <v>2871</v>
      </c>
      <c r="D699" s="561" t="s">
        <v>2872</v>
      </c>
      <c r="E699" s="562" t="s">
        <v>2873</v>
      </c>
      <c r="F699" s="563">
        <v>1</v>
      </c>
      <c r="G699" s="567">
        <v>475.8</v>
      </c>
      <c r="H699" s="192">
        <f t="shared" si="207"/>
        <v>475.8</v>
      </c>
      <c r="I699" s="192" t="s">
        <v>12</v>
      </c>
      <c r="J699" s="192">
        <f t="shared" si="208"/>
        <v>590.94360000000006</v>
      </c>
      <c r="K699" s="192">
        <f t="shared" si="209"/>
        <v>590.94000000000005</v>
      </c>
      <c r="L699" s="250">
        <f t="shared" si="210"/>
        <v>5.9498093858538067E-5</v>
      </c>
    </row>
    <row r="700" spans="1:12" s="3" customFormat="1">
      <c r="A700" s="559" t="s">
        <v>2898</v>
      </c>
      <c r="B700" s="559" t="s">
        <v>2</v>
      </c>
      <c r="C700" s="559">
        <v>90696</v>
      </c>
      <c r="D700" s="561" t="s">
        <v>2874</v>
      </c>
      <c r="E700" s="562" t="s">
        <v>1401</v>
      </c>
      <c r="F700" s="563">
        <v>2</v>
      </c>
      <c r="G700" s="567">
        <v>145.97</v>
      </c>
      <c r="H700" s="192">
        <f t="shared" si="207"/>
        <v>291.94</v>
      </c>
      <c r="I700" s="192" t="s">
        <v>12</v>
      </c>
      <c r="J700" s="192">
        <f t="shared" si="208"/>
        <v>181.29473999999999</v>
      </c>
      <c r="K700" s="192">
        <f t="shared" si="209"/>
        <v>362.59</v>
      </c>
      <c r="L700" s="250">
        <f t="shared" si="210"/>
        <v>3.6506944617333931E-5</v>
      </c>
    </row>
    <row r="701" spans="1:12" s="3" customFormat="1" ht="30">
      <c r="A701" s="559" t="s">
        <v>2899</v>
      </c>
      <c r="B701" s="559" t="s">
        <v>2706</v>
      </c>
      <c r="C701" s="559" t="s">
        <v>2875</v>
      </c>
      <c r="D701" s="561" t="s">
        <v>2876</v>
      </c>
      <c r="E701" s="562" t="s">
        <v>2184</v>
      </c>
      <c r="F701" s="563">
        <v>17.5</v>
      </c>
      <c r="G701" s="567">
        <v>307.85309348026658</v>
      </c>
      <c r="H701" s="192">
        <f t="shared" si="207"/>
        <v>5387.4291359046656</v>
      </c>
      <c r="I701" s="192" t="s">
        <v>12</v>
      </c>
      <c r="J701" s="192">
        <f t="shared" si="208"/>
        <v>382.35354210249108</v>
      </c>
      <c r="K701" s="192">
        <f t="shared" si="209"/>
        <v>6691.19</v>
      </c>
      <c r="L701" s="250">
        <f t="shared" si="210"/>
        <v>6.7369453860850726E-4</v>
      </c>
    </row>
    <row r="702" spans="1:12" s="3" customFormat="1" ht="30">
      <c r="A702" s="559" t="s">
        <v>2900</v>
      </c>
      <c r="B702" s="559" t="s">
        <v>2706</v>
      </c>
      <c r="C702" s="559" t="s">
        <v>2877</v>
      </c>
      <c r="D702" s="561" t="s">
        <v>2878</v>
      </c>
      <c r="E702" s="562" t="s">
        <v>2873</v>
      </c>
      <c r="F702" s="563">
        <v>1</v>
      </c>
      <c r="G702" s="567">
        <v>1077.4679999999998</v>
      </c>
      <c r="H702" s="192">
        <f t="shared" si="207"/>
        <v>1077.4679999999998</v>
      </c>
      <c r="I702" s="192" t="s">
        <v>12</v>
      </c>
      <c r="J702" s="192">
        <f t="shared" si="208"/>
        <v>1338.2152559999997</v>
      </c>
      <c r="K702" s="192">
        <f t="shared" si="209"/>
        <v>1338.22</v>
      </c>
      <c r="L702" s="250">
        <f t="shared" si="210"/>
        <v>1.3473709541302468E-4</v>
      </c>
    </row>
    <row r="703" spans="1:12" s="3" customFormat="1">
      <c r="A703" s="553" t="s">
        <v>2901</v>
      </c>
      <c r="B703" s="554"/>
      <c r="C703" s="554"/>
      <c r="D703" s="555" t="s">
        <v>2880</v>
      </c>
      <c r="E703" s="556" t="s">
        <v>34</v>
      </c>
      <c r="F703" s="557" t="s">
        <v>34</v>
      </c>
      <c r="G703" s="558" t="s">
        <v>34</v>
      </c>
      <c r="H703" s="558"/>
      <c r="I703" s="558"/>
      <c r="J703" s="558"/>
      <c r="K703" s="565">
        <f>K704+K705</f>
        <v>652.95000000000005</v>
      </c>
      <c r="L703" s="566">
        <f>L704+L705</f>
        <v>6.5741497250029488E-5</v>
      </c>
    </row>
    <row r="704" spans="1:12" s="3" customFormat="1">
      <c r="A704" s="559" t="s">
        <v>2902</v>
      </c>
      <c r="B704" s="559" t="s">
        <v>2</v>
      </c>
      <c r="C704" s="559">
        <v>10892</v>
      </c>
      <c r="D704" s="561" t="s">
        <v>2881</v>
      </c>
      <c r="E704" s="562" t="s">
        <v>1932</v>
      </c>
      <c r="F704" s="563">
        <v>1</v>
      </c>
      <c r="G704" s="567">
        <v>172.5</v>
      </c>
      <c r="H704" s="192">
        <f t="shared" ref="H704" si="211">IF(B704="","",F704*G704)</f>
        <v>172.5</v>
      </c>
      <c r="I704" s="192" t="s">
        <v>12</v>
      </c>
      <c r="J704" s="192">
        <f t="shared" ref="J704" si="212">IF(E704="","",IF(I704=$G$4,(G704*(1+$H$4)),(G704*(1+$H$5))))</f>
        <v>214.245</v>
      </c>
      <c r="K704" s="192">
        <f t="shared" ref="K704" si="213">ROUND((IF(C704="","",F704*J704)),2)</f>
        <v>214.25</v>
      </c>
      <c r="L704" s="250">
        <f t="shared" ref="L704" si="214">IF(B704="","",K704/$K$734)</f>
        <v>2.157150744439669E-5</v>
      </c>
    </row>
    <row r="705" spans="1:12" s="3" customFormat="1">
      <c r="A705" s="559" t="s">
        <v>2903</v>
      </c>
      <c r="B705" s="559" t="s">
        <v>2</v>
      </c>
      <c r="C705" s="559">
        <v>101913</v>
      </c>
      <c r="D705" s="561" t="s">
        <v>2882</v>
      </c>
      <c r="E705" s="562" t="s">
        <v>1932</v>
      </c>
      <c r="F705" s="563">
        <v>1</v>
      </c>
      <c r="G705" s="567">
        <v>353.22</v>
      </c>
      <c r="H705" s="192">
        <f t="shared" ref="H705" si="215">IF(B705="","",F705*G705)</f>
        <v>353.22</v>
      </c>
      <c r="I705" s="192" t="s">
        <v>12</v>
      </c>
      <c r="J705" s="192">
        <f t="shared" ref="J705" si="216">IF(E705="","",IF(I705=$G$4,(G705*(1+$H$4)),(G705*(1+$H$5))))</f>
        <v>438.69924000000003</v>
      </c>
      <c r="K705" s="192">
        <f t="shared" ref="K705" si="217">ROUND((IF(C705="","",F705*J705)),2)</f>
        <v>438.7</v>
      </c>
      <c r="L705" s="250">
        <f t="shared" ref="L705" si="218">IF(B705="","",K705/$K$734)</f>
        <v>4.4169989805632798E-5</v>
      </c>
    </row>
    <row r="706" spans="1:12" s="3" customFormat="1">
      <c r="A706" s="553" t="s">
        <v>2927</v>
      </c>
      <c r="B706" s="554"/>
      <c r="C706" s="554"/>
      <c r="D706" s="555" t="s">
        <v>2904</v>
      </c>
      <c r="E706" s="556" t="s">
        <v>34</v>
      </c>
      <c r="F706" s="557" t="s">
        <v>34</v>
      </c>
      <c r="G706" s="558" t="s">
        <v>34</v>
      </c>
      <c r="H706" s="558" t="s">
        <v>34</v>
      </c>
      <c r="I706" s="558" t="s">
        <v>34</v>
      </c>
      <c r="J706" s="558" t="s">
        <v>34</v>
      </c>
      <c r="K706" s="565">
        <f>K707</f>
        <v>208330.5</v>
      </c>
      <c r="L706" s="566">
        <f>L707</f>
        <v>2.0975509599276007E-2</v>
      </c>
    </row>
    <row r="707" spans="1:12" s="3" customFormat="1">
      <c r="A707" s="559" t="s">
        <v>2928</v>
      </c>
      <c r="B707" s="559" t="s">
        <v>2905</v>
      </c>
      <c r="C707" s="559" t="s">
        <v>2906</v>
      </c>
      <c r="D707" s="561" t="s">
        <v>2907</v>
      </c>
      <c r="E707" s="562" t="s">
        <v>1932</v>
      </c>
      <c r="F707" s="563">
        <v>1</v>
      </c>
      <c r="G707" s="570">
        <v>174160.25333333333</v>
      </c>
      <c r="H707" s="192">
        <f t="shared" ref="H707" si="219">IF(B707="","",F707*G707)</f>
        <v>174160.25333333333</v>
      </c>
      <c r="I707" s="192" t="s">
        <v>13</v>
      </c>
      <c r="J707" s="192">
        <f t="shared" ref="J707" si="220">IF(E707="","",IF(I707=$G$4,(G707*(1+$H$4)),(G707*(1+$H$5))))</f>
        <v>208330.49503733331</v>
      </c>
      <c r="K707" s="192">
        <f t="shared" ref="K707" si="221">ROUND((IF(C707="","",F707*J707)),2)</f>
        <v>208330.5</v>
      </c>
      <c r="L707" s="250">
        <f t="shared" ref="L707" si="222">IF(B707="","",K707/$K$734)</f>
        <v>2.0975509599276007E-2</v>
      </c>
    </row>
    <row r="708" spans="1:12" s="3" customFormat="1">
      <c r="A708" s="553" t="s">
        <v>2929</v>
      </c>
      <c r="B708" s="554"/>
      <c r="C708" s="554"/>
      <c r="D708" s="555" t="s">
        <v>2908</v>
      </c>
      <c r="E708" s="556" t="s">
        <v>34</v>
      </c>
      <c r="F708" s="557" t="s">
        <v>34</v>
      </c>
      <c r="G708" s="558" t="s">
        <v>34</v>
      </c>
      <c r="H708" s="558" t="s">
        <v>34</v>
      </c>
      <c r="I708" s="558" t="s">
        <v>34</v>
      </c>
      <c r="J708" s="558" t="s">
        <v>34</v>
      </c>
      <c r="K708" s="565">
        <f>SUM(K709:K713)</f>
        <v>6345.27</v>
      </c>
      <c r="L708" s="566">
        <f>SUM(L709:L713)</f>
        <v>6.3886599319349822E-4</v>
      </c>
    </row>
    <row r="709" spans="1:12" s="3" customFormat="1">
      <c r="A709" s="559" t="s">
        <v>2930</v>
      </c>
      <c r="B709" s="559" t="s">
        <v>2909</v>
      </c>
      <c r="C709" s="559">
        <v>65004088</v>
      </c>
      <c r="D709" s="561" t="s">
        <v>2910</v>
      </c>
      <c r="E709" s="562" t="s">
        <v>1932</v>
      </c>
      <c r="F709" s="563">
        <v>4</v>
      </c>
      <c r="G709" s="567">
        <v>385.35</v>
      </c>
      <c r="H709" s="192">
        <f t="shared" ref="H709" si="223">IF(B709="","",F709*G709)</f>
        <v>1541.4</v>
      </c>
      <c r="I709" s="192" t="s">
        <v>12</v>
      </c>
      <c r="J709" s="192">
        <f t="shared" ref="J709" si="224">IF(E709="","",IF(I709=$G$4,(G709*(1+$H$4)),(G709*(1+$H$5))))</f>
        <v>478.60470000000004</v>
      </c>
      <c r="K709" s="192">
        <f t="shared" ref="K709" si="225">ROUND((IF(C709="","",F709*J709)),2)</f>
        <v>1914.42</v>
      </c>
      <c r="L709" s="250">
        <f t="shared" ref="L709" si="226">IF(B709="","",K709/$K$734)</f>
        <v>1.9275110983291442E-4</v>
      </c>
    </row>
    <row r="710" spans="1:12" s="3" customFormat="1">
      <c r="A710" s="559" t="s">
        <v>2931</v>
      </c>
      <c r="B710" s="559" t="s">
        <v>2909</v>
      </c>
      <c r="C710" s="559">
        <v>65004104</v>
      </c>
      <c r="D710" s="561" t="s">
        <v>2911</v>
      </c>
      <c r="E710" s="562" t="s">
        <v>1932</v>
      </c>
      <c r="F710" s="563">
        <v>3</v>
      </c>
      <c r="G710" s="567">
        <v>378.39</v>
      </c>
      <c r="H710" s="192">
        <f t="shared" ref="H710:H713" si="227">IF(B710="","",F710*G710)</f>
        <v>1135.17</v>
      </c>
      <c r="I710" s="192" t="s">
        <v>12</v>
      </c>
      <c r="J710" s="192">
        <f t="shared" ref="J710:J713" si="228">IF(E710="","",IF(I710=$G$4,(G710*(1+$H$4)),(G710*(1+$H$5))))</f>
        <v>469.96037999999999</v>
      </c>
      <c r="K710" s="192">
        <f t="shared" ref="K710:K713" si="229">ROUND((IF(C710="","",F710*J710)),2)</f>
        <v>1409.88</v>
      </c>
      <c r="L710" s="250">
        <f t="shared" ref="L710:L713" si="230">IF(B710="","",K710/$K$734)</f>
        <v>1.4195209762289852E-4</v>
      </c>
    </row>
    <row r="711" spans="1:12" s="3" customFormat="1">
      <c r="A711" s="559" t="s">
        <v>2932</v>
      </c>
      <c r="B711" s="559" t="s">
        <v>2</v>
      </c>
      <c r="C711" s="559">
        <v>2641</v>
      </c>
      <c r="D711" s="561" t="s">
        <v>2912</v>
      </c>
      <c r="E711" s="562" t="s">
        <v>1932</v>
      </c>
      <c r="F711" s="563">
        <v>6</v>
      </c>
      <c r="G711" s="567">
        <v>25.99</v>
      </c>
      <c r="H711" s="192">
        <f t="shared" si="227"/>
        <v>155.94</v>
      </c>
      <c r="I711" s="192" t="s">
        <v>12</v>
      </c>
      <c r="J711" s="192">
        <f t="shared" si="228"/>
        <v>32.279579999999996</v>
      </c>
      <c r="K711" s="192">
        <f t="shared" si="229"/>
        <v>193.68</v>
      </c>
      <c r="L711" s="250">
        <f t="shared" si="230"/>
        <v>1.9500441362103857E-5</v>
      </c>
    </row>
    <row r="712" spans="1:12" s="3" customFormat="1">
      <c r="A712" s="559" t="s">
        <v>2933</v>
      </c>
      <c r="B712" s="559" t="s">
        <v>2909</v>
      </c>
      <c r="C712" s="559">
        <v>65004042</v>
      </c>
      <c r="D712" s="561" t="s">
        <v>2913</v>
      </c>
      <c r="E712" s="562" t="s">
        <v>1401</v>
      </c>
      <c r="F712" s="563">
        <v>60</v>
      </c>
      <c r="G712" s="567">
        <v>36.869999999999997</v>
      </c>
      <c r="H712" s="192">
        <f t="shared" si="227"/>
        <v>2212.1999999999998</v>
      </c>
      <c r="I712" s="192" t="s">
        <v>12</v>
      </c>
      <c r="J712" s="192">
        <f t="shared" si="228"/>
        <v>45.792539999999995</v>
      </c>
      <c r="K712" s="192">
        <f t="shared" si="229"/>
        <v>2747.55</v>
      </c>
      <c r="L712" s="250">
        <f t="shared" si="230"/>
        <v>2.7663381693746617E-4</v>
      </c>
    </row>
    <row r="713" spans="1:12" s="3" customFormat="1">
      <c r="A713" s="559" t="s">
        <v>2934</v>
      </c>
      <c r="B713" s="559" t="s">
        <v>2</v>
      </c>
      <c r="C713" s="559">
        <v>43130</v>
      </c>
      <c r="D713" s="561" t="s">
        <v>2914</v>
      </c>
      <c r="E713" s="562" t="s">
        <v>1171</v>
      </c>
      <c r="F713" s="563">
        <v>3</v>
      </c>
      <c r="G713" s="567">
        <v>21.4</v>
      </c>
      <c r="H713" s="192">
        <f t="shared" si="227"/>
        <v>64.199999999999989</v>
      </c>
      <c r="I713" s="192" t="s">
        <v>12</v>
      </c>
      <c r="J713" s="192">
        <f t="shared" si="228"/>
        <v>26.578799999999998</v>
      </c>
      <c r="K713" s="192">
        <f t="shared" si="229"/>
        <v>79.739999999999995</v>
      </c>
      <c r="L713" s="250">
        <f t="shared" si="230"/>
        <v>8.0285274381152474E-6</v>
      </c>
    </row>
    <row r="714" spans="1:12" s="3" customFormat="1">
      <c r="A714" s="553" t="s">
        <v>2935</v>
      </c>
      <c r="B714" s="554"/>
      <c r="C714" s="554"/>
      <c r="D714" s="555" t="s">
        <v>2915</v>
      </c>
      <c r="E714" s="556" t="s">
        <v>34</v>
      </c>
      <c r="F714" s="557" t="s">
        <v>34</v>
      </c>
      <c r="G714" s="558" t="s">
        <v>34</v>
      </c>
      <c r="H714" s="558" t="s">
        <v>34</v>
      </c>
      <c r="I714" s="558" t="s">
        <v>34</v>
      </c>
      <c r="J714" s="558" t="s">
        <v>34</v>
      </c>
      <c r="K714" s="565">
        <f>K715</f>
        <v>5491.38</v>
      </c>
      <c r="L714" s="566">
        <f>L715</f>
        <v>5.5289309008173205E-4</v>
      </c>
    </row>
    <row r="715" spans="1:12" s="3" customFormat="1" ht="30">
      <c r="A715" s="559" t="s">
        <v>2936</v>
      </c>
      <c r="B715" s="559" t="s">
        <v>3</v>
      </c>
      <c r="C715" s="559" t="s">
        <v>2916</v>
      </c>
      <c r="D715" s="561" t="s">
        <v>2917</v>
      </c>
      <c r="E715" s="562" t="s">
        <v>1932</v>
      </c>
      <c r="F715" s="563">
        <v>3</v>
      </c>
      <c r="G715" s="567">
        <v>1473.8</v>
      </c>
      <c r="H715" s="192">
        <f t="shared" ref="H715" si="231">IF(B715="","",F715*G715)</f>
        <v>4421.3999999999996</v>
      </c>
      <c r="I715" s="192" t="s">
        <v>12</v>
      </c>
      <c r="J715" s="192">
        <f t="shared" ref="J715" si="232">IF(E715="","",IF(I715=$G$4,(G715*(1+$H$4)),(G715*(1+$H$5))))</f>
        <v>1830.4595999999999</v>
      </c>
      <c r="K715" s="192">
        <f t="shared" ref="K715" si="233">ROUND((IF(C715="","",F715*J715)),2)</f>
        <v>5491.38</v>
      </c>
      <c r="L715" s="250">
        <f t="shared" ref="L715" si="234">IF(B715="","",K715/$K$734)</f>
        <v>5.5289309008173205E-4</v>
      </c>
    </row>
    <row r="716" spans="1:12" s="3" customFormat="1">
      <c r="A716" s="553" t="s">
        <v>2937</v>
      </c>
      <c r="B716" s="554"/>
      <c r="C716" s="554"/>
      <c r="D716" s="555" t="s">
        <v>2918</v>
      </c>
      <c r="E716" s="556" t="s">
        <v>34</v>
      </c>
      <c r="F716" s="557" t="s">
        <v>34</v>
      </c>
      <c r="G716" s="558" t="s">
        <v>34</v>
      </c>
      <c r="H716" s="558" t="s">
        <v>34</v>
      </c>
      <c r="I716" s="558" t="s">
        <v>34</v>
      </c>
      <c r="J716" s="558" t="s">
        <v>34</v>
      </c>
      <c r="K716" s="565">
        <f>SUM(K717:K719)</f>
        <v>34424.81</v>
      </c>
      <c r="L716" s="566">
        <f>SUM(L717:L719)</f>
        <v>3.4660212144081285E-3</v>
      </c>
    </row>
    <row r="717" spans="1:12" s="3" customFormat="1" ht="75">
      <c r="A717" s="559" t="s">
        <v>2938</v>
      </c>
      <c r="B717" s="559" t="s">
        <v>2706</v>
      </c>
      <c r="C717" s="559" t="s">
        <v>1223</v>
      </c>
      <c r="D717" s="561" t="s">
        <v>2919</v>
      </c>
      <c r="E717" s="562" t="s">
        <v>1401</v>
      </c>
      <c r="F717" s="563">
        <v>170</v>
      </c>
      <c r="G717" s="567">
        <v>130.19808999999998</v>
      </c>
      <c r="H717" s="192">
        <f t="shared" ref="H717" si="235">IF(B717="","",F717*G717)</f>
        <v>22133.675299999995</v>
      </c>
      <c r="I717" s="192" t="s">
        <v>12</v>
      </c>
      <c r="J717" s="192">
        <f t="shared" ref="J717" si="236">IF(E717="","",IF(I717=$G$4,(G717*(1+$H$4)),(G717*(1+$H$5))))</f>
        <v>161.70602777999997</v>
      </c>
      <c r="K717" s="192">
        <f t="shared" ref="K717" si="237">ROUND((IF(C717="","",F717*J717)),2)</f>
        <v>27490.02</v>
      </c>
      <c r="L717" s="250">
        <f t="shared" ref="L717" si="238">IF(B717="","",K717/$K$734)</f>
        <v>2.767800098373927E-3</v>
      </c>
    </row>
    <row r="718" spans="1:12" s="3" customFormat="1" ht="30">
      <c r="A718" s="559" t="s">
        <v>2939</v>
      </c>
      <c r="B718" s="559" t="s">
        <v>2</v>
      </c>
      <c r="C718" s="559">
        <v>864</v>
      </c>
      <c r="D718" s="561" t="s">
        <v>2920</v>
      </c>
      <c r="E718" s="562" t="s">
        <v>1401</v>
      </c>
      <c r="F718" s="563">
        <v>57</v>
      </c>
      <c r="G718" s="567">
        <v>61.94</v>
      </c>
      <c r="H718" s="192">
        <f t="shared" ref="H718:H719" si="239">IF(B718="","",F718*G718)</f>
        <v>3530.58</v>
      </c>
      <c r="I718" s="192" t="s">
        <v>12</v>
      </c>
      <c r="J718" s="192">
        <f t="shared" ref="J718:J719" si="240">IF(E718="","",IF(I718=$G$4,(G718*(1+$H$4)),(G718*(1+$H$5))))</f>
        <v>76.929479999999998</v>
      </c>
      <c r="K718" s="192">
        <f t="shared" ref="K718:K719" si="241">ROUND((IF(C718="","",F718*J718)),2)</f>
        <v>4384.9799999999996</v>
      </c>
      <c r="L718" s="250">
        <f t="shared" ref="L718:L719" si="242">IF(B718="","",K718/$K$734)</f>
        <v>4.4149651674926761E-4</v>
      </c>
    </row>
    <row r="719" spans="1:12" s="3" customFormat="1">
      <c r="A719" s="559" t="s">
        <v>2940</v>
      </c>
      <c r="B719" s="559" t="s">
        <v>2921</v>
      </c>
      <c r="C719" s="559" t="s">
        <v>2922</v>
      </c>
      <c r="D719" s="561" t="s">
        <v>2923</v>
      </c>
      <c r="E719" s="562" t="s">
        <v>1932</v>
      </c>
      <c r="F719" s="563">
        <v>9</v>
      </c>
      <c r="G719" s="567">
        <v>228.11</v>
      </c>
      <c r="H719" s="192">
        <f t="shared" si="239"/>
        <v>2052.9900000000002</v>
      </c>
      <c r="I719" s="192" t="s">
        <v>12</v>
      </c>
      <c r="J719" s="192">
        <f t="shared" si="240"/>
        <v>283.31262000000004</v>
      </c>
      <c r="K719" s="192">
        <f t="shared" si="241"/>
        <v>2549.81</v>
      </c>
      <c r="L719" s="250">
        <f t="shared" si="242"/>
        <v>2.5672459928493407E-4</v>
      </c>
    </row>
    <row r="720" spans="1:12" s="3" customFormat="1">
      <c r="A720" s="553" t="s">
        <v>2941</v>
      </c>
      <c r="B720" s="554"/>
      <c r="C720" s="554"/>
      <c r="D720" s="555" t="s">
        <v>46</v>
      </c>
      <c r="E720" s="556" t="s">
        <v>34</v>
      </c>
      <c r="F720" s="557" t="s">
        <v>34</v>
      </c>
      <c r="G720" s="558" t="s">
        <v>34</v>
      </c>
      <c r="H720" s="558" t="s">
        <v>34</v>
      </c>
      <c r="I720" s="558" t="s">
        <v>34</v>
      </c>
      <c r="J720" s="558" t="s">
        <v>34</v>
      </c>
      <c r="K720" s="565">
        <f>SUM(K721:K723)</f>
        <v>6334.52</v>
      </c>
      <c r="L720" s="566">
        <f>SUM(L721:L723)</f>
        <v>6.3778364217820173E-4</v>
      </c>
    </row>
    <row r="721" spans="1:12" s="3" customFormat="1">
      <c r="A721" s="559" t="s">
        <v>2942</v>
      </c>
      <c r="B721" s="559" t="s">
        <v>2909</v>
      </c>
      <c r="C721" s="559">
        <v>65004063</v>
      </c>
      <c r="D721" s="561" t="s">
        <v>2924</v>
      </c>
      <c r="E721" s="562" t="s">
        <v>1401</v>
      </c>
      <c r="F721" s="563">
        <v>40</v>
      </c>
      <c r="G721" s="567">
        <v>43.45</v>
      </c>
      <c r="H721" s="192">
        <f t="shared" ref="H721" si="243">IF(B721="","",F721*G721)</f>
        <v>1738</v>
      </c>
      <c r="I721" s="192" t="s">
        <v>12</v>
      </c>
      <c r="J721" s="192">
        <f t="shared" ref="J721" si="244">IF(E721="","",IF(I721=$G$4,(G721*(1+$H$4)),(G721*(1+$H$5))))</f>
        <v>53.9649</v>
      </c>
      <c r="K721" s="192">
        <f t="shared" ref="K721" si="245">ROUND((IF(C721="","",F721*J721)),2)</f>
        <v>2158.6</v>
      </c>
      <c r="L721" s="250">
        <f t="shared" ref="L721" si="246">IF(B721="","",K721/$K$734)</f>
        <v>2.1733608387152715E-4</v>
      </c>
    </row>
    <row r="722" spans="1:12" s="3" customFormat="1">
      <c r="A722" s="559" t="s">
        <v>2943</v>
      </c>
      <c r="B722" s="559" t="s">
        <v>2909</v>
      </c>
      <c r="C722" s="559">
        <v>65004064</v>
      </c>
      <c r="D722" s="561" t="s">
        <v>2925</v>
      </c>
      <c r="E722" s="562" t="s">
        <v>1932</v>
      </c>
      <c r="F722" s="563">
        <v>12</v>
      </c>
      <c r="G722" s="567">
        <v>278.97000000000003</v>
      </c>
      <c r="H722" s="192">
        <f t="shared" ref="H722:H723" si="247">IF(B722="","",F722*G722)</f>
        <v>3347.6400000000003</v>
      </c>
      <c r="I722" s="192" t="s">
        <v>12</v>
      </c>
      <c r="J722" s="192">
        <f t="shared" ref="J722:J723" si="248">IF(E722="","",IF(I722=$G$4,(G722*(1+$H$4)),(G722*(1+$H$5))))</f>
        <v>346.48074000000003</v>
      </c>
      <c r="K722" s="192">
        <f t="shared" ref="K722:K723" si="249">ROUND((IF(C722="","",F722*J722)),2)</f>
        <v>4157.7700000000004</v>
      </c>
      <c r="L722" s="250">
        <f t="shared" ref="L722:L723" si="250">IF(B722="","",K722/$K$734)</f>
        <v>4.1862014705759269E-4</v>
      </c>
    </row>
    <row r="723" spans="1:12" s="3" customFormat="1">
      <c r="A723" s="559" t="s">
        <v>2944</v>
      </c>
      <c r="B723" s="559" t="s">
        <v>2</v>
      </c>
      <c r="C723" s="559">
        <v>1588</v>
      </c>
      <c r="D723" s="561" t="s">
        <v>2926</v>
      </c>
      <c r="E723" s="562" t="s">
        <v>1932</v>
      </c>
      <c r="F723" s="563">
        <v>1</v>
      </c>
      <c r="G723" s="567">
        <v>14.61</v>
      </c>
      <c r="H723" s="192">
        <f t="shared" si="247"/>
        <v>14.61</v>
      </c>
      <c r="I723" s="192" t="s">
        <v>12</v>
      </c>
      <c r="J723" s="192">
        <f t="shared" si="248"/>
        <v>18.145619999999997</v>
      </c>
      <c r="K723" s="192">
        <f t="shared" si="249"/>
        <v>18.149999999999999</v>
      </c>
      <c r="L723" s="250">
        <f t="shared" si="250"/>
        <v>1.8274112490819131E-6</v>
      </c>
    </row>
    <row r="724" spans="1:12" s="3" customFormat="1">
      <c r="A724" s="553" t="s">
        <v>2947</v>
      </c>
      <c r="B724" s="554"/>
      <c r="C724" s="554"/>
      <c r="D724" s="555" t="s">
        <v>50</v>
      </c>
      <c r="E724" s="556" t="s">
        <v>34</v>
      </c>
      <c r="F724" s="557" t="s">
        <v>34</v>
      </c>
      <c r="G724" s="558" t="s">
        <v>34</v>
      </c>
      <c r="H724" s="558" t="s">
        <v>34</v>
      </c>
      <c r="I724" s="558" t="s">
        <v>34</v>
      </c>
      <c r="J724" s="558" t="s">
        <v>34</v>
      </c>
      <c r="K724" s="565">
        <f>K725</f>
        <v>2832.55</v>
      </c>
      <c r="L724" s="566">
        <f>L725</f>
        <v>2.8519194124446135E-4</v>
      </c>
    </row>
    <row r="725" spans="1:12" s="3" customFormat="1" ht="30">
      <c r="A725" s="559" t="s">
        <v>2948</v>
      </c>
      <c r="B725" s="559" t="s">
        <v>2706</v>
      </c>
      <c r="C725" s="559" t="s">
        <v>2945</v>
      </c>
      <c r="D725" s="561" t="s">
        <v>2952</v>
      </c>
      <c r="E725" s="562" t="s">
        <v>1932</v>
      </c>
      <c r="F725" s="563">
        <v>1</v>
      </c>
      <c r="G725" s="567">
        <v>2280.6337000000003</v>
      </c>
      <c r="H725" s="192">
        <f t="shared" ref="H725" si="251">IF(B725="","",F725*G725)</f>
        <v>2280.6337000000003</v>
      </c>
      <c r="I725" s="192" t="s">
        <v>12</v>
      </c>
      <c r="J725" s="192">
        <f t="shared" ref="J725" si="252">IF(E725="","",IF(I725=$G$4,(G725*(1+$H$4)),(G725*(1+$H$5))))</f>
        <v>2832.5470554000003</v>
      </c>
      <c r="K725" s="192">
        <f t="shared" ref="K725" si="253">ROUND((IF(C725="","",F725*J725)),2)</f>
        <v>2832.55</v>
      </c>
      <c r="L725" s="250">
        <f t="shared" ref="L725" si="254">IF(B725="","",K725/$K$734)</f>
        <v>2.8519194124446135E-4</v>
      </c>
    </row>
    <row r="726" spans="1:12" s="3" customFormat="1">
      <c r="A726" s="553" t="s">
        <v>2949</v>
      </c>
      <c r="B726" s="554"/>
      <c r="C726" s="554"/>
      <c r="D726" s="555" t="s">
        <v>2953</v>
      </c>
      <c r="E726" s="556" t="s">
        <v>34</v>
      </c>
      <c r="F726" s="557" t="s">
        <v>34</v>
      </c>
      <c r="G726" s="558" t="s">
        <v>34</v>
      </c>
      <c r="H726" s="558" t="s">
        <v>34</v>
      </c>
      <c r="I726" s="558" t="s">
        <v>34</v>
      </c>
      <c r="J726" s="558" t="s">
        <v>34</v>
      </c>
      <c r="K726" s="565">
        <f>K727</f>
        <v>490.47</v>
      </c>
      <c r="L726" s="566">
        <f>L727</f>
        <v>4.9382390927669755E-5</v>
      </c>
    </row>
    <row r="727" spans="1:12" s="3" customFormat="1">
      <c r="A727" s="559" t="s">
        <v>2950</v>
      </c>
      <c r="B727" s="559" t="s">
        <v>3</v>
      </c>
      <c r="C727" s="559" t="s">
        <v>2946</v>
      </c>
      <c r="D727" s="561" t="s">
        <v>2951</v>
      </c>
      <c r="E727" s="562" t="s">
        <v>2184</v>
      </c>
      <c r="F727" s="563">
        <v>55</v>
      </c>
      <c r="G727" s="567">
        <v>7.18</v>
      </c>
      <c r="H727" s="192">
        <f t="shared" ref="H727" si="255">IF(B727="","",F727*G727)</f>
        <v>394.9</v>
      </c>
      <c r="I727" s="192" t="s">
        <v>12</v>
      </c>
      <c r="J727" s="192">
        <f t="shared" ref="J727" si="256">IF(E727="","",IF(I727=$G$4,(G727*(1+$H$4)),(G727*(1+$H$5))))</f>
        <v>8.9175599999999999</v>
      </c>
      <c r="K727" s="192">
        <f t="shared" ref="K727" si="257">ROUND((IF(C727="","",F727*J727)),2)</f>
        <v>490.47</v>
      </c>
      <c r="L727" s="250">
        <f t="shared" ref="L727" si="258">IF(B727="","",K727/$K$734)</f>
        <v>4.9382390927669755E-5</v>
      </c>
    </row>
    <row r="728" spans="1:12" s="3" customFormat="1">
      <c r="A728" s="523"/>
      <c r="B728" s="522"/>
      <c r="C728" s="522"/>
      <c r="D728" s="525"/>
      <c r="E728" s="526"/>
      <c r="F728" s="527"/>
      <c r="G728" s="528"/>
      <c r="H728" s="529"/>
      <c r="I728" s="529"/>
      <c r="J728" s="529"/>
      <c r="K728" s="529"/>
      <c r="L728" s="530"/>
    </row>
    <row r="729" spans="1:12" s="3" customFormat="1" ht="15.75">
      <c r="A729" s="572">
        <v>12</v>
      </c>
      <c r="B729" s="767"/>
      <c r="C729" s="767"/>
      <c r="D729" s="612" t="s">
        <v>2954</v>
      </c>
      <c r="E729" s="612"/>
      <c r="F729" s="612"/>
      <c r="G729" s="572"/>
      <c r="H729" s="572"/>
      <c r="I729" s="572"/>
      <c r="J729" s="572"/>
      <c r="K729" s="576">
        <f>SUM(K730:K732)</f>
        <v>23465.56</v>
      </c>
      <c r="L729" s="577">
        <f>SUM(L730:L732)</f>
        <v>2.3626021107441644E-3</v>
      </c>
    </row>
    <row r="730" spans="1:12" s="3" customFormat="1">
      <c r="A730" s="573" t="s">
        <v>2961</v>
      </c>
      <c r="B730" s="512" t="s">
        <v>2</v>
      </c>
      <c r="C730" s="512">
        <v>98459</v>
      </c>
      <c r="D730" s="513" t="s">
        <v>2955</v>
      </c>
      <c r="E730" s="512" t="s">
        <v>2956</v>
      </c>
      <c r="F730" s="512">
        <v>65</v>
      </c>
      <c r="G730" s="574">
        <v>78.489999999999995</v>
      </c>
      <c r="H730" s="192">
        <f t="shared" ref="H730" si="259">IF(B730="","",F730*G730)</f>
        <v>5101.8499999999995</v>
      </c>
      <c r="I730" s="192" t="s">
        <v>12</v>
      </c>
      <c r="J730" s="192">
        <f t="shared" ref="J730" si="260">IF(E730="","",IF(I730=$G$4,(G730*(1+$H$4)),(G730*(1+$H$5))))</f>
        <v>97.484579999999994</v>
      </c>
      <c r="K730" s="192">
        <f t="shared" ref="K730" si="261">ROUND((IF(C730="","",F730*J730)),2)</f>
        <v>6336.5</v>
      </c>
      <c r="L730" s="250">
        <f t="shared" ref="L730" si="262">IF(B730="","",K730/$K$734)</f>
        <v>6.3798299613264701E-4</v>
      </c>
    </row>
    <row r="731" spans="1:12" s="3" customFormat="1" ht="63.75">
      <c r="A731" s="573" t="s">
        <v>2962</v>
      </c>
      <c r="B731" s="512" t="s">
        <v>3</v>
      </c>
      <c r="C731" s="512" t="s">
        <v>2957</v>
      </c>
      <c r="D731" s="513" t="s">
        <v>2958</v>
      </c>
      <c r="E731" s="512" t="s">
        <v>144</v>
      </c>
      <c r="F731" s="512">
        <v>12</v>
      </c>
      <c r="G731" s="574">
        <v>900.79</v>
      </c>
      <c r="H731" s="192">
        <f t="shared" ref="H731:H732" si="263">IF(B731="","",F731*G731)</f>
        <v>10809.48</v>
      </c>
      <c r="I731" s="192" t="s">
        <v>12</v>
      </c>
      <c r="J731" s="192">
        <f t="shared" ref="J731:J732" si="264">IF(E731="","",IF(I731=$G$4,(G731*(1+$H$4)),(G731*(1+$H$5))))</f>
        <v>1118.7811799999999</v>
      </c>
      <c r="K731" s="192">
        <f t="shared" ref="K731:K732" si="265">ROUND((IF(C731="","",F731*J731)),2)</f>
        <v>13425.37</v>
      </c>
      <c r="L731" s="250">
        <f t="shared" ref="L731:L732" si="266">IF(B731="","",K731/$K$734)</f>
        <v>1.3517174744400466E-3</v>
      </c>
    </row>
    <row r="732" spans="1:12" s="3" customFormat="1" ht="38.25">
      <c r="A732" s="575" t="s">
        <v>2963</v>
      </c>
      <c r="B732" s="512" t="s">
        <v>3</v>
      </c>
      <c r="C732" s="512" t="s">
        <v>2959</v>
      </c>
      <c r="D732" s="513" t="s">
        <v>2960</v>
      </c>
      <c r="E732" s="512" t="s">
        <v>167</v>
      </c>
      <c r="F732" s="512">
        <v>2</v>
      </c>
      <c r="G732" s="574">
        <v>1491.02</v>
      </c>
      <c r="H732" s="192">
        <f t="shared" si="263"/>
        <v>2982.04</v>
      </c>
      <c r="I732" s="192" t="s">
        <v>12</v>
      </c>
      <c r="J732" s="192">
        <f t="shared" si="264"/>
        <v>1851.8468399999999</v>
      </c>
      <c r="K732" s="192">
        <f t="shared" si="265"/>
        <v>3703.69</v>
      </c>
      <c r="L732" s="250">
        <f t="shared" si="266"/>
        <v>3.729016401714706E-4</v>
      </c>
    </row>
    <row r="733" spans="1:12" s="3" customFormat="1">
      <c r="A733" s="523"/>
      <c r="B733" s="522"/>
      <c r="C733" s="522"/>
      <c r="D733" s="525"/>
      <c r="E733" s="526"/>
      <c r="F733" s="527"/>
      <c r="G733" s="528"/>
      <c r="H733" s="529"/>
      <c r="I733" s="529"/>
      <c r="J733" s="529"/>
      <c r="K733" s="529"/>
      <c r="L733" s="530"/>
    </row>
    <row r="734" spans="1:12" s="2" customFormat="1" ht="15" customHeight="1">
      <c r="A734" s="768"/>
      <c r="B734" s="768"/>
      <c r="C734" s="768"/>
      <c r="D734" s="768"/>
      <c r="E734" s="768"/>
      <c r="F734" s="768"/>
      <c r="G734" s="769"/>
      <c r="H734" s="209"/>
      <c r="I734" s="209"/>
      <c r="J734" s="113"/>
      <c r="K734" s="41">
        <f>K18+K69+K282+K533+K545+K570+K580+K593+K597+K605+K660+K729</f>
        <v>9932082.8900000006</v>
      </c>
      <c r="L734" s="581">
        <f>L18+L69+L282+L533+L545+L570+L580+L593+L597+L605+L660+L729</f>
        <v>1</v>
      </c>
    </row>
    <row r="735" spans="1:12" s="2" customFormat="1" ht="15" customHeight="1">
      <c r="A735" s="43"/>
      <c r="B735" s="65"/>
      <c r="C735" s="65"/>
      <c r="D735" s="42"/>
      <c r="E735" s="44"/>
      <c r="F735" s="45"/>
      <c r="G735" s="46"/>
      <c r="H735" s="47"/>
      <c r="I735" s="47"/>
      <c r="J735" s="47"/>
      <c r="K735" s="47"/>
      <c r="L735" s="48"/>
    </row>
    <row r="736" spans="1:12" s="2" customFormat="1">
      <c r="A736" s="210"/>
      <c r="B736" s="211"/>
      <c r="C736" s="211"/>
      <c r="D736" s="211"/>
      <c r="E736" s="211"/>
      <c r="F736" s="211"/>
      <c r="G736" s="211"/>
      <c r="H736" s="211"/>
      <c r="I736" s="211"/>
      <c r="J736" s="202" t="s">
        <v>1252</v>
      </c>
      <c r="K736" s="4"/>
      <c r="L736" s="5"/>
    </row>
    <row r="737" spans="1:12" s="2" customFormat="1" ht="15" customHeight="1">
      <c r="A737" s="700" t="s">
        <v>3036</v>
      </c>
      <c r="B737" s="701"/>
      <c r="C737" s="701"/>
      <c r="D737" s="701"/>
      <c r="E737" s="701"/>
      <c r="F737" s="701"/>
      <c r="G737" s="701"/>
      <c r="H737" s="702"/>
      <c r="I737" s="675"/>
      <c r="J737" s="203" t="s">
        <v>119</v>
      </c>
      <c r="K737" s="751">
        <f>K734</f>
        <v>9932082.8900000006</v>
      </c>
      <c r="L737" s="751"/>
    </row>
    <row r="738" spans="1:12" s="2" customFormat="1" ht="14.25" customHeight="1">
      <c r="A738" s="703"/>
      <c r="B738" s="704"/>
      <c r="C738" s="704"/>
      <c r="D738" s="704"/>
      <c r="E738" s="704"/>
      <c r="F738" s="704"/>
      <c r="G738" s="704"/>
      <c r="H738" s="705"/>
      <c r="I738" s="673"/>
      <c r="J738" s="676" t="s">
        <v>120</v>
      </c>
      <c r="K738" s="677">
        <v>12</v>
      </c>
      <c r="L738" s="678" t="s">
        <v>121</v>
      </c>
    </row>
    <row r="739" spans="1:12" s="2" customFormat="1" ht="57" customHeight="1">
      <c r="A739" s="706"/>
      <c r="B739" s="707"/>
      <c r="C739" s="707"/>
      <c r="D739" s="707"/>
      <c r="E739" s="707"/>
      <c r="F739" s="707"/>
      <c r="G739" s="707"/>
      <c r="H739" s="708"/>
      <c r="I739" s="674"/>
      <c r="J739" s="674"/>
      <c r="K739" s="674"/>
      <c r="L739" s="674"/>
    </row>
    <row r="740" spans="1:12" s="2" customFormat="1" ht="7.5" customHeight="1">
      <c r="A740" s="3"/>
      <c r="B740" s="3"/>
      <c r="C740" s="3"/>
      <c r="D740" s="6"/>
      <c r="E740" s="7"/>
      <c r="F740" s="8"/>
      <c r="G740" s="9"/>
      <c r="H740" s="9"/>
      <c r="I740" s="9"/>
      <c r="J740" s="9"/>
      <c r="K740" s="3"/>
      <c r="L740" s="3"/>
    </row>
  </sheetData>
  <autoFilter ref="A17:L734" xr:uid="{00000000-0001-0000-0100-000000000000}"/>
  <mergeCells count="55">
    <mergeCell ref="A13:B13"/>
    <mergeCell ref="C13:D13"/>
    <mergeCell ref="B545:C545"/>
    <mergeCell ref="B570:C570"/>
    <mergeCell ref="E13:F13"/>
    <mergeCell ref="E14:F14"/>
    <mergeCell ref="A15:L15"/>
    <mergeCell ref="G13:L13"/>
    <mergeCell ref="A16:A17"/>
    <mergeCell ref="B533:C533"/>
    <mergeCell ref="B16:C16"/>
    <mergeCell ref="G14:L14"/>
    <mergeCell ref="A14:B14"/>
    <mergeCell ref="C14:D14"/>
    <mergeCell ref="K737:L737"/>
    <mergeCell ref="F16:F17"/>
    <mergeCell ref="D16:D17"/>
    <mergeCell ref="E16:E17"/>
    <mergeCell ref="L16:L17"/>
    <mergeCell ref="G16:H16"/>
    <mergeCell ref="I16:I17"/>
    <mergeCell ref="J16:K16"/>
    <mergeCell ref="A737:H739"/>
    <mergeCell ref="B597:C597"/>
    <mergeCell ref="B605:C605"/>
    <mergeCell ref="B729:C729"/>
    <mergeCell ref="B580:C580"/>
    <mergeCell ref="B593:C593"/>
    <mergeCell ref="A734:G734"/>
    <mergeCell ref="A9:L9"/>
    <mergeCell ref="C11:D11"/>
    <mergeCell ref="E12:F12"/>
    <mergeCell ref="E11:F11"/>
    <mergeCell ref="A12:B12"/>
    <mergeCell ref="A11:B11"/>
    <mergeCell ref="C10:D10"/>
    <mergeCell ref="G10:L10"/>
    <mergeCell ref="G11:L11"/>
    <mergeCell ref="E10:F10"/>
    <mergeCell ref="C12:D12"/>
    <mergeCell ref="G12:L12"/>
    <mergeCell ref="A10:B10"/>
    <mergeCell ref="A1:L1"/>
    <mergeCell ref="A6:L6"/>
    <mergeCell ref="A8:L8"/>
    <mergeCell ref="A7:L7"/>
    <mergeCell ref="I2:I3"/>
    <mergeCell ref="B2:D2"/>
    <mergeCell ref="B3:D3"/>
    <mergeCell ref="E2:E3"/>
    <mergeCell ref="E4:F5"/>
    <mergeCell ref="H4:I4"/>
    <mergeCell ref="H5:I5"/>
    <mergeCell ref="B4:D4"/>
    <mergeCell ref="B5:D5"/>
  </mergeCells>
  <phoneticPr fontId="19" type="noConversion"/>
  <dataValidations count="2">
    <dataValidation type="list" allowBlank="1" showInputMessage="1" showErrorMessage="1" sqref="I2" xr:uid="{00000000-0002-0000-0100-000000000000}">
      <formula1>"NÃO DESONERADO, DESONERADO"</formula1>
    </dataValidation>
    <dataValidation type="list" allowBlank="1" showInputMessage="1" showErrorMessage="1" sqref="I730:I733 I19:I68 I70:I281 I546:I569 I571:I579 I581:I592 I594:I596 I598:I604 I644:I646 I624:I642 I617:I622 I607:I615 I648:I659 I662:I674 I680 I676:I678 I682:I684 I686:I705 I707 I709:I713 I715 I717:I719 I721:I723 I725 I727:I728 I283:I544" xr:uid="{00000000-0002-0000-0100-000001000000}">
      <formula1>$G$4:$G$5</formula1>
    </dataValidation>
  </dataValidations>
  <printOptions horizontalCentered="1"/>
  <pageMargins left="0.47244094488188981" right="0.47244094488188981" top="0.51181102362204722" bottom="0.51181102362204722" header="0.31496062992125984" footer="0.31496062992125984"/>
  <pageSetup paperSize="9" scale="55" fitToHeight="0" orientation="landscape" r:id="rId1"/>
  <headerFooter>
    <oddFooter>&amp;R&amp;P/&amp;N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630"/>
  <sheetViews>
    <sheetView showGridLines="0" zoomScale="80" zoomScaleNormal="80" zoomScaleSheetLayoutView="100" workbookViewId="0">
      <selection activeCell="B47" sqref="B47"/>
    </sheetView>
  </sheetViews>
  <sheetFormatPr defaultColWidth="9.140625" defaultRowHeight="15"/>
  <cols>
    <col min="1" max="1" width="15.28515625" style="11" customWidth="1"/>
    <col min="2" max="2" width="132.140625" style="12" customWidth="1"/>
    <col min="3" max="3" width="10.7109375" style="11" customWidth="1"/>
    <col min="4" max="4" width="14.7109375" style="13" customWidth="1"/>
    <col min="5" max="5" width="20.5703125" style="13" bestFit="1" customWidth="1"/>
    <col min="6" max="6" width="14.7109375" style="14" customWidth="1"/>
    <col min="7" max="7" width="7.5703125" style="10" customWidth="1"/>
    <col min="8" max="8" width="15.7109375" style="15" customWidth="1"/>
    <col min="9" max="16384" width="9.140625" style="10"/>
  </cols>
  <sheetData>
    <row r="1" spans="1:8" ht="4.5" customHeight="1">
      <c r="A1" s="49"/>
      <c r="B1" s="50"/>
      <c r="C1" s="50"/>
      <c r="D1" s="153"/>
      <c r="E1" s="153"/>
      <c r="F1" s="153"/>
      <c r="G1" s="153"/>
      <c r="H1" s="154"/>
    </row>
    <row r="2" spans="1:8" ht="30" customHeight="1">
      <c r="A2" s="133" t="s">
        <v>0</v>
      </c>
      <c r="B2" s="770" t="s">
        <v>1</v>
      </c>
      <c r="C2" s="771"/>
      <c r="D2" s="772"/>
      <c r="E2" s="147"/>
      <c r="F2" s="148"/>
      <c r="G2" s="148"/>
      <c r="H2" s="149"/>
    </row>
    <row r="3" spans="1:8" ht="30" customHeight="1">
      <c r="A3" s="133" t="s">
        <v>5</v>
      </c>
      <c r="B3" s="770" t="s">
        <v>6</v>
      </c>
      <c r="C3" s="771"/>
      <c r="D3" s="772"/>
      <c r="E3" s="276"/>
      <c r="F3" s="3"/>
      <c r="G3" s="3"/>
      <c r="H3" s="287"/>
    </row>
    <row r="4" spans="1:8" ht="30" customHeight="1">
      <c r="A4" s="133" t="s">
        <v>9</v>
      </c>
      <c r="B4" s="770" t="s">
        <v>10</v>
      </c>
      <c r="C4" s="771"/>
      <c r="D4" s="772"/>
      <c r="E4" s="23"/>
      <c r="F4" s="2"/>
      <c r="G4" s="2"/>
      <c r="H4" s="24"/>
    </row>
    <row r="5" spans="1:8" ht="30" customHeight="1">
      <c r="A5" s="133" t="s">
        <v>14</v>
      </c>
      <c r="B5" s="773" t="s">
        <v>15</v>
      </c>
      <c r="C5" s="774"/>
      <c r="D5" s="775"/>
      <c r="E5" s="25"/>
      <c r="F5" s="26"/>
      <c r="G5" s="26"/>
      <c r="H5" s="27"/>
    </row>
    <row r="6" spans="1:8" ht="4.5" customHeight="1">
      <c r="A6" s="49"/>
      <c r="B6" s="50"/>
      <c r="C6" s="50"/>
      <c r="D6" s="123"/>
      <c r="E6" s="123"/>
      <c r="F6" s="123"/>
      <c r="G6" s="123"/>
      <c r="H6" s="155"/>
    </row>
    <row r="7" spans="1:8" ht="33" customHeight="1">
      <c r="A7" s="692" t="s">
        <v>1253</v>
      </c>
      <c r="B7" s="693"/>
      <c r="C7" s="693"/>
      <c r="D7" s="693"/>
      <c r="E7" s="693"/>
      <c r="F7" s="693"/>
      <c r="G7" s="693"/>
      <c r="H7" s="694"/>
    </row>
    <row r="8" spans="1:8" ht="4.5" customHeight="1">
      <c r="A8" s="49"/>
      <c r="B8" s="50"/>
      <c r="C8" s="50"/>
      <c r="D8" s="50"/>
      <c r="E8" s="50"/>
      <c r="F8" s="50"/>
      <c r="G8" s="50"/>
      <c r="H8" s="51"/>
    </row>
    <row r="9" spans="1:8" ht="19.5" customHeight="1">
      <c r="A9" s="776" t="s">
        <v>17</v>
      </c>
      <c r="B9" s="777"/>
      <c r="C9" s="777"/>
      <c r="D9" s="777"/>
      <c r="E9" s="777"/>
      <c r="F9" s="777"/>
      <c r="G9" s="777"/>
      <c r="H9" s="778"/>
    </row>
    <row r="10" spans="1:8" ht="19.5" customHeight="1">
      <c r="A10" s="134" t="s">
        <v>18</v>
      </c>
      <c r="B10" s="134" t="s">
        <v>19</v>
      </c>
      <c r="C10" s="709" t="s">
        <v>20</v>
      </c>
      <c r="D10" s="709"/>
      <c r="E10" s="709" t="s">
        <v>21</v>
      </c>
      <c r="F10" s="709"/>
      <c r="G10" s="709"/>
      <c r="H10" s="709"/>
    </row>
    <row r="11" spans="1:8" ht="19.5" customHeight="1">
      <c r="A11" s="28" t="s">
        <v>125</v>
      </c>
      <c r="B11" s="28" t="s">
        <v>23</v>
      </c>
      <c r="C11" s="710">
        <v>45427</v>
      </c>
      <c r="D11" s="711"/>
      <c r="E11" s="712" t="s">
        <v>24</v>
      </c>
      <c r="F11" s="713"/>
      <c r="G11" s="713"/>
      <c r="H11" s="714"/>
    </row>
    <row r="12" spans="1:8" ht="19.5" customHeight="1">
      <c r="A12" s="28" t="str">
        <f>'Planilha Resumo'!A12</f>
        <v>R8</v>
      </c>
      <c r="B12" s="28" t="str">
        <f>'Planilha Resumo'!B12</f>
        <v>Atendendo à Comentários</v>
      </c>
      <c r="C12" s="710">
        <f>'Planilha Resumo'!C12</f>
        <v>45496</v>
      </c>
      <c r="D12" s="711"/>
      <c r="E12" s="712" t="str">
        <f>'Planilha Resumo'!E12</f>
        <v>Grazielle Cruz/ Marcelo F. Pereira</v>
      </c>
      <c r="F12" s="713"/>
      <c r="G12" s="713"/>
      <c r="H12" s="714"/>
    </row>
    <row r="13" spans="1:8" ht="19.5" customHeight="1">
      <c r="A13" s="28" t="str">
        <f>'Planilha Resumo'!A13</f>
        <v>R9</v>
      </c>
      <c r="B13" s="28" t="str">
        <f>'Planilha Resumo'!B13</f>
        <v>Atendendo à Comentários</v>
      </c>
      <c r="C13" s="710">
        <f>'Planilha Resumo'!C13</f>
        <v>45504</v>
      </c>
      <c r="D13" s="711"/>
      <c r="E13" s="712" t="str">
        <f>'Planilha Resumo'!E13</f>
        <v>Grazielle Cruz/ Marcelo F. Pereira</v>
      </c>
      <c r="F13" s="713"/>
      <c r="G13" s="713"/>
      <c r="H13" s="714"/>
    </row>
    <row r="14" spans="1:8" ht="19.5" customHeight="1">
      <c r="A14" s="28" t="str">
        <f>'Planilha Resumo'!A14</f>
        <v>R12</v>
      </c>
      <c r="B14" s="522" t="s">
        <v>2964</v>
      </c>
      <c r="C14" s="718">
        <v>45510</v>
      </c>
      <c r="D14" s="719"/>
      <c r="E14" s="712" t="s">
        <v>2965</v>
      </c>
      <c r="F14" s="713"/>
      <c r="G14" s="713"/>
      <c r="H14" s="714"/>
    </row>
    <row r="15" spans="1:8" ht="4.5" customHeight="1">
      <c r="A15" s="49"/>
      <c r="B15" s="50"/>
      <c r="C15" s="50"/>
      <c r="D15" s="50"/>
      <c r="E15" s="50"/>
      <c r="F15" s="50"/>
      <c r="G15" s="50"/>
      <c r="H15" s="51"/>
    </row>
    <row r="16" spans="1:8" ht="25.5" customHeight="1">
      <c r="H16" s="229" t="s">
        <v>1254</v>
      </c>
    </row>
    <row r="17" spans="1:8" ht="32.25" customHeight="1">
      <c r="A17" s="224" t="s">
        <v>27</v>
      </c>
      <c r="B17" s="224" t="s">
        <v>28</v>
      </c>
      <c r="C17" s="224" t="s">
        <v>127</v>
      </c>
      <c r="D17" s="225" t="s">
        <v>128</v>
      </c>
      <c r="E17" s="225" t="s">
        <v>29</v>
      </c>
      <c r="F17" s="226" t="s">
        <v>1255</v>
      </c>
      <c r="G17" s="227"/>
      <c r="H17" s="228" t="s">
        <v>1256</v>
      </c>
    </row>
    <row r="18" spans="1:8" s="227" customFormat="1" ht="75">
      <c r="A18" s="28" t="s">
        <v>392</v>
      </c>
      <c r="B18" s="193" t="s">
        <v>2971</v>
      </c>
      <c r="C18" s="194" t="s">
        <v>167</v>
      </c>
      <c r="D18" s="195">
        <v>2</v>
      </c>
      <c r="E18" s="192">
        <v>2478270.4300000002</v>
      </c>
      <c r="F18" s="250">
        <v>0.24948449147270751</v>
      </c>
      <c r="H18" s="401">
        <f>F18</f>
        <v>0.24948449147270751</v>
      </c>
    </row>
    <row r="19" spans="1:8" s="227" customFormat="1" ht="30">
      <c r="A19" s="28" t="s">
        <v>769</v>
      </c>
      <c r="B19" s="193" t="s">
        <v>771</v>
      </c>
      <c r="C19" s="194" t="s">
        <v>150</v>
      </c>
      <c r="D19" s="195">
        <v>1437.59</v>
      </c>
      <c r="E19" s="192">
        <v>324374.07</v>
      </c>
      <c r="F19" s="250">
        <v>3.265434591852933E-2</v>
      </c>
      <c r="H19" s="401">
        <f>H18+F19</f>
        <v>0.28213883739123685</v>
      </c>
    </row>
    <row r="20" spans="1:8" s="227" customFormat="1">
      <c r="A20" s="28" t="s">
        <v>356</v>
      </c>
      <c r="B20" s="193" t="s">
        <v>1257</v>
      </c>
      <c r="C20" s="194" t="s">
        <v>167</v>
      </c>
      <c r="D20" s="195">
        <v>1</v>
      </c>
      <c r="E20" s="192">
        <v>324031.18</v>
      </c>
      <c r="F20" s="250">
        <v>3.2619827596297203E-2</v>
      </c>
      <c r="H20" s="401">
        <f t="shared" ref="H20:H83" si="0">H19+F20</f>
        <v>0.31475866498753408</v>
      </c>
    </row>
    <row r="21" spans="1:8" s="227" customFormat="1">
      <c r="A21" s="588" t="s">
        <v>2928</v>
      </c>
      <c r="B21" s="594" t="s">
        <v>2907</v>
      </c>
      <c r="C21" s="504" t="s">
        <v>1932</v>
      </c>
      <c r="D21" s="504">
        <v>1</v>
      </c>
      <c r="E21" s="192">
        <v>208330.5</v>
      </c>
      <c r="F21" s="250">
        <v>2.0972379858785181E-2</v>
      </c>
      <c r="H21" s="401">
        <f t="shared" si="0"/>
        <v>0.33573104484631927</v>
      </c>
    </row>
    <row r="22" spans="1:8" s="227" customFormat="1" ht="30">
      <c r="A22" s="28" t="s">
        <v>1175</v>
      </c>
      <c r="B22" s="193" t="s">
        <v>1177</v>
      </c>
      <c r="C22" s="194" t="s">
        <v>1171</v>
      </c>
      <c r="D22" s="195">
        <v>5040</v>
      </c>
      <c r="E22" s="192">
        <v>190334.68</v>
      </c>
      <c r="F22" s="250">
        <v>1.9160762390818063E-2</v>
      </c>
      <c r="H22" s="401">
        <f t="shared" si="0"/>
        <v>0.35489180723713731</v>
      </c>
    </row>
    <row r="23" spans="1:8" s="227" customFormat="1" ht="30">
      <c r="A23" s="28" t="s">
        <v>1178</v>
      </c>
      <c r="B23" s="193" t="s">
        <v>1180</v>
      </c>
      <c r="C23" s="194" t="s">
        <v>1171</v>
      </c>
      <c r="D23" s="195">
        <v>4465</v>
      </c>
      <c r="E23" s="192">
        <v>173480.84</v>
      </c>
      <c r="F23" s="250">
        <v>1.7464106670416164E-2</v>
      </c>
      <c r="H23" s="401">
        <f t="shared" si="0"/>
        <v>0.37235591390755346</v>
      </c>
    </row>
    <row r="24" spans="1:8" s="227" customFormat="1" ht="60">
      <c r="A24" s="28" t="s">
        <v>397</v>
      </c>
      <c r="B24" s="193" t="s">
        <v>2972</v>
      </c>
      <c r="C24" s="194" t="s">
        <v>167</v>
      </c>
      <c r="D24" s="195">
        <v>2</v>
      </c>
      <c r="E24" s="192">
        <v>171415.46</v>
      </c>
      <c r="F24" s="250">
        <v>1.7256187359932399E-2</v>
      </c>
      <c r="H24" s="401">
        <f t="shared" si="0"/>
        <v>0.38961210126748586</v>
      </c>
    </row>
    <row r="25" spans="1:8" s="227" customFormat="1" ht="45">
      <c r="A25" s="28" t="s">
        <v>1036</v>
      </c>
      <c r="B25" s="193" t="s">
        <v>1038</v>
      </c>
      <c r="C25" s="194" t="s">
        <v>167</v>
      </c>
      <c r="D25" s="195">
        <v>90</v>
      </c>
      <c r="E25" s="192">
        <v>168263.61</v>
      </c>
      <c r="F25" s="250">
        <v>1.6938894426550527E-2</v>
      </c>
      <c r="H25" s="401">
        <f t="shared" si="0"/>
        <v>0.40655099569403641</v>
      </c>
    </row>
    <row r="26" spans="1:8" s="227" customFormat="1">
      <c r="A26" s="28" t="s">
        <v>1390</v>
      </c>
      <c r="B26" s="193" t="s">
        <v>2528</v>
      </c>
      <c r="C26" s="194" t="s">
        <v>150</v>
      </c>
      <c r="D26" s="195">
        <v>1400</v>
      </c>
      <c r="E26" s="192">
        <v>162856.01</v>
      </c>
      <c r="F26" s="250">
        <v>1.6394517864672328E-2</v>
      </c>
      <c r="H26" s="401">
        <f t="shared" si="0"/>
        <v>0.42294551355870874</v>
      </c>
    </row>
    <row r="27" spans="1:8" s="227" customFormat="1" ht="30">
      <c r="A27" s="28" t="s">
        <v>344</v>
      </c>
      <c r="B27" s="193" t="s">
        <v>346</v>
      </c>
      <c r="C27" s="194" t="s">
        <v>180</v>
      </c>
      <c r="D27" s="195">
        <v>825</v>
      </c>
      <c r="E27" s="192">
        <v>153513.06</v>
      </c>
      <c r="F27" s="250">
        <v>1.5453974370552946E-2</v>
      </c>
      <c r="H27" s="401">
        <f t="shared" si="0"/>
        <v>0.4383994879292617</v>
      </c>
    </row>
    <row r="28" spans="1:8" s="227" customFormat="1" ht="30">
      <c r="A28" s="28" t="s">
        <v>939</v>
      </c>
      <c r="B28" s="193" t="s">
        <v>941</v>
      </c>
      <c r="C28" s="194" t="s">
        <v>167</v>
      </c>
      <c r="D28" s="195">
        <v>405</v>
      </c>
      <c r="E28" s="192">
        <v>150596.16</v>
      </c>
      <c r="F28" s="250">
        <v>1.5160333569949625E-2</v>
      </c>
      <c r="H28" s="401">
        <f t="shared" si="0"/>
        <v>0.45355982149921131</v>
      </c>
    </row>
    <row r="29" spans="1:8" s="227" customFormat="1">
      <c r="A29" s="28" t="s">
        <v>142</v>
      </c>
      <c r="B29" s="193" t="s">
        <v>143</v>
      </c>
      <c r="C29" s="599" t="s">
        <v>144</v>
      </c>
      <c r="D29" s="195">
        <v>12</v>
      </c>
      <c r="E29" s="192">
        <v>130574.54</v>
      </c>
      <c r="F29" s="250">
        <v>1.3144781262302637E-2</v>
      </c>
      <c r="H29" s="401">
        <f t="shared" si="0"/>
        <v>0.46670460276151393</v>
      </c>
    </row>
    <row r="30" spans="1:8" s="227" customFormat="1" ht="30">
      <c r="A30" s="28" t="s">
        <v>1172</v>
      </c>
      <c r="B30" s="193" t="s">
        <v>1174</v>
      </c>
      <c r="C30" s="599" t="s">
        <v>1171</v>
      </c>
      <c r="D30" s="195">
        <v>3295</v>
      </c>
      <c r="E30" s="192">
        <v>130209.93</v>
      </c>
      <c r="F30" s="250">
        <v>1.3108076413899203E-2</v>
      </c>
      <c r="H30" s="401">
        <f t="shared" si="0"/>
        <v>0.47981267917541315</v>
      </c>
    </row>
    <row r="31" spans="1:8" s="227" customFormat="1" ht="30">
      <c r="A31" s="28" t="s">
        <v>1050</v>
      </c>
      <c r="B31" s="193" t="s">
        <v>1052</v>
      </c>
      <c r="C31" s="194" t="s">
        <v>167</v>
      </c>
      <c r="D31" s="195">
        <v>103</v>
      </c>
      <c r="E31" s="192">
        <v>121725.43</v>
      </c>
      <c r="F31" s="250">
        <v>1.2253952044630839E-2</v>
      </c>
      <c r="H31" s="401">
        <f t="shared" si="0"/>
        <v>0.49206663122004402</v>
      </c>
    </row>
    <row r="32" spans="1:8" s="227" customFormat="1" ht="60">
      <c r="A32" s="28" t="s">
        <v>403</v>
      </c>
      <c r="B32" s="193" t="s">
        <v>2974</v>
      </c>
      <c r="C32" s="194" t="s">
        <v>167</v>
      </c>
      <c r="D32" s="195">
        <v>3</v>
      </c>
      <c r="E32" s="192">
        <v>117706.08</v>
      </c>
      <c r="F32" s="250">
        <v>1.1849328933826574E-2</v>
      </c>
      <c r="H32" s="401">
        <f t="shared" si="0"/>
        <v>0.50391596015387063</v>
      </c>
    </row>
    <row r="33" spans="1:8" s="227" customFormat="1" ht="30">
      <c r="A33" s="589" t="s">
        <v>1181</v>
      </c>
      <c r="B33" s="595" t="s">
        <v>1183</v>
      </c>
      <c r="C33" s="504" t="s">
        <v>150</v>
      </c>
      <c r="D33" s="600">
        <v>2080</v>
      </c>
      <c r="E33" s="192">
        <v>115390.89</v>
      </c>
      <c r="F33" s="250">
        <v>1.1616261552308934E-2</v>
      </c>
      <c r="H33" s="401">
        <f t="shared" si="0"/>
        <v>0.51553222170617952</v>
      </c>
    </row>
    <row r="34" spans="1:8" s="227" customFormat="1">
      <c r="A34" s="28" t="s">
        <v>145</v>
      </c>
      <c r="B34" s="193" t="s">
        <v>146</v>
      </c>
      <c r="C34" s="194" t="s">
        <v>144</v>
      </c>
      <c r="D34" s="195">
        <v>12</v>
      </c>
      <c r="E34" s="192">
        <v>96397.88</v>
      </c>
      <c r="F34" s="250">
        <v>9.7042581712307643E-3</v>
      </c>
      <c r="H34" s="401">
        <f t="shared" si="0"/>
        <v>0.52523647987741029</v>
      </c>
    </row>
    <row r="35" spans="1:8" s="227" customFormat="1" ht="30">
      <c r="A35" s="28" t="s">
        <v>935</v>
      </c>
      <c r="B35" s="193" t="s">
        <v>369</v>
      </c>
      <c r="C35" s="194" t="s">
        <v>180</v>
      </c>
      <c r="D35" s="195">
        <v>1210</v>
      </c>
      <c r="E35" s="192">
        <v>93295.07</v>
      </c>
      <c r="F35" s="250">
        <v>9.3919020354290596E-3</v>
      </c>
      <c r="H35" s="401">
        <f t="shared" si="0"/>
        <v>0.53462838191283935</v>
      </c>
    </row>
    <row r="36" spans="1:8" s="227" customFormat="1" ht="14.45" customHeight="1">
      <c r="A36" s="28" t="s">
        <v>2659</v>
      </c>
      <c r="B36" s="193" t="s">
        <v>2641</v>
      </c>
      <c r="C36" s="194" t="s">
        <v>180</v>
      </c>
      <c r="D36" s="195">
        <v>10500</v>
      </c>
      <c r="E36" s="192">
        <v>92199.87</v>
      </c>
      <c r="F36" s="250">
        <v>9.2816495739731428E-3</v>
      </c>
      <c r="H36" s="401">
        <f t="shared" si="0"/>
        <v>0.5439100314868125</v>
      </c>
    </row>
    <row r="37" spans="1:8" s="227" customFormat="1" ht="30">
      <c r="A37" s="28" t="s">
        <v>835</v>
      </c>
      <c r="B37" s="193" t="s">
        <v>837</v>
      </c>
      <c r="C37" s="194" t="s">
        <v>180</v>
      </c>
      <c r="D37" s="195">
        <v>11010.1</v>
      </c>
      <c r="E37" s="192">
        <v>81363.539999999994</v>
      </c>
      <c r="F37" s="250">
        <v>8.1907693186329521E-3</v>
      </c>
      <c r="H37" s="401">
        <f t="shared" si="0"/>
        <v>0.55210080080544544</v>
      </c>
    </row>
    <row r="38" spans="1:8" s="227" customFormat="1" ht="30">
      <c r="A38" s="28" t="s">
        <v>235</v>
      </c>
      <c r="B38" s="193" t="s">
        <v>237</v>
      </c>
      <c r="C38" s="194" t="s">
        <v>167</v>
      </c>
      <c r="D38" s="195">
        <v>144</v>
      </c>
      <c r="E38" s="192">
        <v>80813.36</v>
      </c>
      <c r="F38" s="250">
        <v>8.1353833624205566E-3</v>
      </c>
      <c r="H38" s="401">
        <f t="shared" si="0"/>
        <v>0.56023618416786602</v>
      </c>
    </row>
    <row r="39" spans="1:8" s="227" customFormat="1" ht="30">
      <c r="A39" s="28" t="s">
        <v>1047</v>
      </c>
      <c r="B39" s="193" t="s">
        <v>1049</v>
      </c>
      <c r="C39" s="89" t="s">
        <v>167</v>
      </c>
      <c r="D39" s="195">
        <v>54</v>
      </c>
      <c r="E39" s="192">
        <v>78895.11</v>
      </c>
      <c r="F39" s="250">
        <v>7.9422754513652164E-3</v>
      </c>
      <c r="H39" s="401">
        <f t="shared" si="0"/>
        <v>0.56817845961923119</v>
      </c>
    </row>
    <row r="40" spans="1:8" s="227" customFormat="1">
      <c r="A40" s="28" t="s">
        <v>456</v>
      </c>
      <c r="B40" s="193" t="s">
        <v>458</v>
      </c>
      <c r="C40" s="194" t="s">
        <v>180</v>
      </c>
      <c r="D40" s="195">
        <v>70</v>
      </c>
      <c r="E40" s="192">
        <v>77228.600000000006</v>
      </c>
      <c r="F40" s="250">
        <v>7.7745099021131192E-3</v>
      </c>
      <c r="H40" s="401">
        <f t="shared" si="0"/>
        <v>0.57595296952134434</v>
      </c>
    </row>
    <row r="41" spans="1:8" s="227" customFormat="1" ht="225">
      <c r="A41" s="28" t="s">
        <v>1019</v>
      </c>
      <c r="B41" s="193" t="s">
        <v>2981</v>
      </c>
      <c r="C41" s="194" t="s">
        <v>167</v>
      </c>
      <c r="D41" s="195">
        <v>1</v>
      </c>
      <c r="E41" s="192">
        <v>74893.399999999994</v>
      </c>
      <c r="F41" s="250">
        <v>7.5394281380591986E-3</v>
      </c>
      <c r="H41" s="401">
        <f t="shared" si="0"/>
        <v>0.58349239765940353</v>
      </c>
    </row>
    <row r="42" spans="1:8" s="227" customFormat="1" ht="255">
      <c r="A42" s="28" t="s">
        <v>2989</v>
      </c>
      <c r="B42" s="193" t="s">
        <v>2990</v>
      </c>
      <c r="C42" s="194" t="s">
        <v>167</v>
      </c>
      <c r="D42" s="195">
        <v>1</v>
      </c>
      <c r="E42" s="192">
        <v>74893.399999999994</v>
      </c>
      <c r="F42" s="250">
        <v>7.5394281380591986E-3</v>
      </c>
      <c r="H42" s="401">
        <f t="shared" si="0"/>
        <v>0.59103182579746272</v>
      </c>
    </row>
    <row r="43" spans="1:8" s="227" customFormat="1">
      <c r="A43" s="28" t="s">
        <v>450</v>
      </c>
      <c r="B43" s="193" t="s">
        <v>452</v>
      </c>
      <c r="C43" s="194" t="s">
        <v>180</v>
      </c>
      <c r="D43" s="195">
        <v>40</v>
      </c>
      <c r="E43" s="192">
        <v>72068.78</v>
      </c>
      <c r="F43" s="250">
        <v>7.2550770536201859E-3</v>
      </c>
      <c r="H43" s="401">
        <f t="shared" si="0"/>
        <v>0.59828690285108288</v>
      </c>
    </row>
    <row r="44" spans="1:8" s="227" customFormat="1" ht="14.45" customHeight="1">
      <c r="A44" s="28" t="s">
        <v>2667</v>
      </c>
      <c r="B44" s="193" t="s">
        <v>2663</v>
      </c>
      <c r="C44" s="194" t="s">
        <v>2664</v>
      </c>
      <c r="D44" s="195">
        <v>12</v>
      </c>
      <c r="E44" s="192">
        <v>67405.429999999993</v>
      </c>
      <c r="F44" s="250">
        <v>6.7856232404988909E-3</v>
      </c>
      <c r="H44" s="401">
        <f t="shared" si="0"/>
        <v>0.6050725260915818</v>
      </c>
    </row>
    <row r="45" spans="1:8" s="227" customFormat="1">
      <c r="A45" s="28" t="s">
        <v>2545</v>
      </c>
      <c r="B45" s="193" t="s">
        <v>2536</v>
      </c>
      <c r="C45" s="194" t="s">
        <v>180</v>
      </c>
      <c r="D45" s="195">
        <v>750</v>
      </c>
      <c r="E45" s="192">
        <v>59522.85</v>
      </c>
      <c r="F45" s="250">
        <v>5.992093430762617E-3</v>
      </c>
      <c r="H45" s="401">
        <f t="shared" si="0"/>
        <v>0.61106461952234437</v>
      </c>
    </row>
    <row r="46" spans="1:8" s="227" customFormat="1" ht="30">
      <c r="A46" s="28" t="s">
        <v>989</v>
      </c>
      <c r="B46" s="193" t="s">
        <v>369</v>
      </c>
      <c r="C46" s="194" t="s">
        <v>180</v>
      </c>
      <c r="D46" s="195">
        <v>759</v>
      </c>
      <c r="E46" s="192">
        <v>58521.45</v>
      </c>
      <c r="F46" s="250">
        <v>5.8912837020354868E-3</v>
      </c>
      <c r="H46" s="401">
        <f t="shared" si="0"/>
        <v>0.61695590322437988</v>
      </c>
    </row>
    <row r="47" spans="1:8" s="227" customFormat="1">
      <c r="A47" s="587" t="s">
        <v>962</v>
      </c>
      <c r="B47" s="592" t="s">
        <v>964</v>
      </c>
      <c r="C47" s="504" t="s">
        <v>167</v>
      </c>
      <c r="D47" s="600">
        <v>1</v>
      </c>
      <c r="E47" s="192">
        <v>56567.95</v>
      </c>
      <c r="F47" s="250">
        <v>5.6946272160474203E-3</v>
      </c>
      <c r="H47" s="401">
        <f t="shared" si="0"/>
        <v>0.62265053044042729</v>
      </c>
    </row>
    <row r="48" spans="1:8" s="227" customFormat="1">
      <c r="A48" s="28" t="s">
        <v>412</v>
      </c>
      <c r="B48" s="193" t="s">
        <v>414</v>
      </c>
      <c r="C48" s="194" t="s">
        <v>167</v>
      </c>
      <c r="D48" s="195">
        <v>16</v>
      </c>
      <c r="E48" s="192">
        <v>54629.72</v>
      </c>
      <c r="F48" s="250">
        <v>5.4995079425195735E-3</v>
      </c>
      <c r="H48" s="401">
        <f t="shared" si="0"/>
        <v>0.62815003838294681</v>
      </c>
    </row>
    <row r="49" spans="1:8" s="227" customFormat="1" ht="30">
      <c r="A49" s="28" t="s">
        <v>206</v>
      </c>
      <c r="B49" s="193" t="s">
        <v>208</v>
      </c>
      <c r="C49" s="194" t="s">
        <v>180</v>
      </c>
      <c r="D49" s="195">
        <v>2525</v>
      </c>
      <c r="E49" s="192">
        <v>54379.11</v>
      </c>
      <c r="F49" s="250">
        <v>5.4742793364517617E-3</v>
      </c>
      <c r="H49" s="401">
        <f t="shared" si="0"/>
        <v>0.63362431771939853</v>
      </c>
    </row>
    <row r="50" spans="1:8" s="227" customFormat="1">
      <c r="A50" s="28" t="s">
        <v>2546</v>
      </c>
      <c r="B50" s="193" t="s">
        <v>2538</v>
      </c>
      <c r="C50" s="194" t="s">
        <v>150</v>
      </c>
      <c r="D50" s="195">
        <v>896.94</v>
      </c>
      <c r="E50" s="192">
        <v>53850.73</v>
      </c>
      <c r="F50" s="250">
        <v>5.4210879599140734E-3</v>
      </c>
      <c r="H50" s="401">
        <f t="shared" si="0"/>
        <v>0.63904540567931256</v>
      </c>
    </row>
    <row r="51" spans="1:8" s="227" customFormat="1" ht="30">
      <c r="A51" s="28" t="s">
        <v>947</v>
      </c>
      <c r="B51" s="193" t="s">
        <v>949</v>
      </c>
      <c r="C51" s="194" t="s">
        <v>167</v>
      </c>
      <c r="D51" s="195">
        <v>1620</v>
      </c>
      <c r="E51" s="192">
        <v>53620.87</v>
      </c>
      <c r="F51" s="250">
        <v>5.3979482312889304E-3</v>
      </c>
      <c r="H51" s="401">
        <f t="shared" si="0"/>
        <v>0.64444335391060148</v>
      </c>
    </row>
    <row r="52" spans="1:8" s="227" customFormat="1" ht="60">
      <c r="A52" s="28" t="s">
        <v>2977</v>
      </c>
      <c r="B52" s="193" t="s">
        <v>2978</v>
      </c>
      <c r="C52" s="194" t="s">
        <v>167</v>
      </c>
      <c r="D52" s="195">
        <v>2</v>
      </c>
      <c r="E52" s="192">
        <v>51110.99</v>
      </c>
      <c r="F52" s="250">
        <v>5.1452816425754788E-3</v>
      </c>
      <c r="H52" s="401">
        <f t="shared" si="0"/>
        <v>0.64958863555317692</v>
      </c>
    </row>
    <row r="53" spans="1:8" s="227" customFormat="1" ht="30">
      <c r="A53" s="28" t="s">
        <v>1012</v>
      </c>
      <c r="B53" s="193" t="s">
        <v>369</v>
      </c>
      <c r="C53" s="194" t="s">
        <v>180</v>
      </c>
      <c r="D53" s="195">
        <v>660</v>
      </c>
      <c r="E53" s="192">
        <v>50888.22</v>
      </c>
      <c r="F53" s="250">
        <v>5.1228556556885772E-3</v>
      </c>
      <c r="H53" s="401">
        <f t="shared" si="0"/>
        <v>0.65471149120886551</v>
      </c>
    </row>
    <row r="54" spans="1:8" s="227" customFormat="1">
      <c r="A54" s="28" t="s">
        <v>841</v>
      </c>
      <c r="B54" s="193" t="s">
        <v>842</v>
      </c>
      <c r="C54" s="194" t="s">
        <v>180</v>
      </c>
      <c r="D54" s="195">
        <v>4963</v>
      </c>
      <c r="E54" s="192">
        <v>48880.88</v>
      </c>
      <c r="F54" s="250">
        <v>4.9207791619167397E-3</v>
      </c>
      <c r="H54" s="401">
        <f t="shared" si="0"/>
        <v>0.6596322703707822</v>
      </c>
    </row>
    <row r="55" spans="1:8" s="227" customFormat="1" ht="75">
      <c r="A55" s="28" t="s">
        <v>380</v>
      </c>
      <c r="B55" s="193" t="s">
        <v>1258</v>
      </c>
      <c r="C55" s="194" t="s">
        <v>167</v>
      </c>
      <c r="D55" s="195">
        <v>1</v>
      </c>
      <c r="E55" s="192">
        <v>45743.75</v>
      </c>
      <c r="F55" s="250">
        <v>4.6049680731592565E-3</v>
      </c>
      <c r="H55" s="401">
        <f t="shared" si="0"/>
        <v>0.66423723844394145</v>
      </c>
    </row>
    <row r="56" spans="1:8" s="227" customFormat="1" ht="14.45" customHeight="1">
      <c r="A56" s="28" t="s">
        <v>278</v>
      </c>
      <c r="B56" s="193" t="s">
        <v>279</v>
      </c>
      <c r="C56" s="194" t="s">
        <v>180</v>
      </c>
      <c r="D56" s="195">
        <v>93</v>
      </c>
      <c r="E56" s="192">
        <v>45098.14</v>
      </c>
      <c r="F56" s="250">
        <v>4.5399752940864357E-3</v>
      </c>
      <c r="H56" s="401">
        <f t="shared" si="0"/>
        <v>0.6687772137380279</v>
      </c>
    </row>
    <row r="57" spans="1:8" s="227" customFormat="1">
      <c r="A57" s="28" t="s">
        <v>282</v>
      </c>
      <c r="B57" s="193" t="s">
        <v>283</v>
      </c>
      <c r="C57" s="194" t="s">
        <v>180</v>
      </c>
      <c r="D57" s="195">
        <v>180</v>
      </c>
      <c r="E57" s="192">
        <v>45068.9</v>
      </c>
      <c r="F57" s="250">
        <v>4.5370317385961412E-3</v>
      </c>
      <c r="H57" s="401">
        <f t="shared" si="0"/>
        <v>0.673314245476624</v>
      </c>
    </row>
    <row r="58" spans="1:8" s="227" customFormat="1">
      <c r="A58" s="28" t="s">
        <v>2542</v>
      </c>
      <c r="B58" s="193" t="s">
        <v>2533</v>
      </c>
      <c r="C58" s="599" t="s">
        <v>150</v>
      </c>
      <c r="D58" s="195">
        <v>3000</v>
      </c>
      <c r="E58" s="192">
        <v>43817.760000000002</v>
      </c>
      <c r="F58" s="250">
        <v>4.4110809856506032E-3</v>
      </c>
      <c r="H58" s="401">
        <f t="shared" si="0"/>
        <v>0.67772532646227457</v>
      </c>
    </row>
    <row r="59" spans="1:8" s="227" customFormat="1" ht="14.45" customHeight="1">
      <c r="A59" s="589" t="s">
        <v>782</v>
      </c>
      <c r="B59" s="593" t="s">
        <v>784</v>
      </c>
      <c r="C59" s="504" t="s">
        <v>167</v>
      </c>
      <c r="D59" s="600">
        <v>7</v>
      </c>
      <c r="E59" s="192">
        <v>43787.11</v>
      </c>
      <c r="F59" s="250">
        <v>4.4079954871629988E-3</v>
      </c>
      <c r="H59" s="401">
        <f t="shared" si="0"/>
        <v>0.68213332194943754</v>
      </c>
    </row>
    <row r="60" spans="1:8" s="227" customFormat="1">
      <c r="A60" s="28" t="s">
        <v>1055</v>
      </c>
      <c r="B60" s="193" t="s">
        <v>1057</v>
      </c>
      <c r="C60" s="194" t="s">
        <v>167</v>
      </c>
      <c r="D60" s="195">
        <v>58</v>
      </c>
      <c r="E60" s="192">
        <v>43771.44</v>
      </c>
      <c r="F60" s="250">
        <v>4.4064180071858132E-3</v>
      </c>
      <c r="H60" s="401">
        <f t="shared" si="0"/>
        <v>0.68653973995662332</v>
      </c>
    </row>
    <row r="61" spans="1:8" s="227" customFormat="1" ht="30">
      <c r="A61" s="28" t="s">
        <v>832</v>
      </c>
      <c r="B61" s="193" t="s">
        <v>834</v>
      </c>
      <c r="C61" s="194" t="s">
        <v>180</v>
      </c>
      <c r="D61" s="195">
        <v>8223.65</v>
      </c>
      <c r="E61" s="192">
        <v>40752.959999999999</v>
      </c>
      <c r="F61" s="250">
        <v>4.1025512706486956E-3</v>
      </c>
      <c r="H61" s="401">
        <f t="shared" si="0"/>
        <v>0.69064229122727205</v>
      </c>
    </row>
    <row r="62" spans="1:8" s="227" customFormat="1" ht="225">
      <c r="A62" s="28" t="s">
        <v>1025</v>
      </c>
      <c r="B62" s="193" t="s">
        <v>2983</v>
      </c>
      <c r="C62" s="194" t="s">
        <v>167</v>
      </c>
      <c r="D62" s="195">
        <v>1</v>
      </c>
      <c r="E62" s="192">
        <v>40342.61</v>
      </c>
      <c r="F62" s="250">
        <v>4.0612418316800739E-3</v>
      </c>
      <c r="H62" s="401">
        <f t="shared" si="0"/>
        <v>0.69470353305895216</v>
      </c>
    </row>
    <row r="63" spans="1:8" s="227" customFormat="1" ht="216.75">
      <c r="A63" s="588" t="s">
        <v>2985</v>
      </c>
      <c r="B63" s="594" t="s">
        <v>2986</v>
      </c>
      <c r="C63" s="504" t="s">
        <v>167</v>
      </c>
      <c r="D63" s="504">
        <v>1</v>
      </c>
      <c r="E63" s="192">
        <v>40342.61</v>
      </c>
      <c r="F63" s="250">
        <v>4.0612418316800739E-3</v>
      </c>
      <c r="H63" s="401">
        <f t="shared" si="0"/>
        <v>0.69876477489063227</v>
      </c>
    </row>
    <row r="64" spans="1:8" s="227" customFormat="1" ht="45">
      <c r="A64" s="28" t="s">
        <v>1033</v>
      </c>
      <c r="B64" s="193" t="s">
        <v>1035</v>
      </c>
      <c r="C64" s="194" t="s">
        <v>167</v>
      </c>
      <c r="D64" s="195">
        <v>19</v>
      </c>
      <c r="E64" s="192">
        <v>39254.68</v>
      </c>
      <c r="F64" s="250">
        <v>3.9517212323450356E-3</v>
      </c>
      <c r="H64" s="401">
        <f t="shared" si="0"/>
        <v>0.70271649612297726</v>
      </c>
    </row>
    <row r="65" spans="1:8" s="227" customFormat="1">
      <c r="A65" s="28" t="s">
        <v>980</v>
      </c>
      <c r="B65" s="193" t="s">
        <v>982</v>
      </c>
      <c r="C65" s="194" t="s">
        <v>167</v>
      </c>
      <c r="D65" s="195">
        <v>8</v>
      </c>
      <c r="E65" s="192">
        <v>35231.58</v>
      </c>
      <c r="F65" s="250">
        <v>3.5467206135692026E-3</v>
      </c>
      <c r="H65" s="401">
        <f t="shared" si="0"/>
        <v>0.70626321673654646</v>
      </c>
    </row>
    <row r="66" spans="1:8" s="227" customFormat="1">
      <c r="A66" s="28" t="s">
        <v>983</v>
      </c>
      <c r="B66" s="193" t="s">
        <v>985</v>
      </c>
      <c r="C66" s="194" t="s">
        <v>167</v>
      </c>
      <c r="D66" s="195">
        <v>8</v>
      </c>
      <c r="E66" s="192">
        <v>35231.58</v>
      </c>
      <c r="F66" s="250">
        <v>3.5467206135692026E-3</v>
      </c>
      <c r="H66" s="401">
        <f t="shared" si="0"/>
        <v>0.70980993735011566</v>
      </c>
    </row>
    <row r="67" spans="1:8" s="227" customFormat="1">
      <c r="A67" s="28" t="s">
        <v>2541</v>
      </c>
      <c r="B67" s="254" t="s">
        <v>2532</v>
      </c>
      <c r="C67" s="194" t="s">
        <v>167</v>
      </c>
      <c r="D67" s="195">
        <v>24</v>
      </c>
      <c r="E67" s="192">
        <v>34872.980000000003</v>
      </c>
      <c r="F67" s="250">
        <v>3.5106207846081995E-3</v>
      </c>
      <c r="H67" s="401">
        <f t="shared" si="0"/>
        <v>0.71332055813472384</v>
      </c>
    </row>
    <row r="68" spans="1:8" s="227" customFormat="1" ht="45">
      <c r="A68" s="28" t="s">
        <v>1163</v>
      </c>
      <c r="B68" s="193" t="s">
        <v>1165</v>
      </c>
      <c r="C68" s="194" t="s">
        <v>167</v>
      </c>
      <c r="D68" s="195">
        <v>8</v>
      </c>
      <c r="E68" s="192">
        <v>34718.370000000003</v>
      </c>
      <c r="F68" s="250">
        <v>3.4950563826124915E-3</v>
      </c>
      <c r="H68" s="401">
        <f t="shared" si="0"/>
        <v>0.71681561451733633</v>
      </c>
    </row>
    <row r="69" spans="1:8" s="227" customFormat="1" ht="30">
      <c r="A69" s="28" t="s">
        <v>177</v>
      </c>
      <c r="B69" s="193" t="s">
        <v>179</v>
      </c>
      <c r="C69" s="194" t="s">
        <v>180</v>
      </c>
      <c r="D69" s="195">
        <v>513</v>
      </c>
      <c r="E69" s="192">
        <v>34501.46</v>
      </c>
      <c r="F69" s="250">
        <v>3.473220314849158E-3</v>
      </c>
      <c r="H69" s="401">
        <f t="shared" si="0"/>
        <v>0.72028883483218553</v>
      </c>
    </row>
    <row r="70" spans="1:8" s="227" customFormat="1">
      <c r="A70" s="28" t="s">
        <v>1222</v>
      </c>
      <c r="B70" s="193" t="s">
        <v>1224</v>
      </c>
      <c r="C70" s="194" t="s">
        <v>180</v>
      </c>
      <c r="D70" s="195">
        <v>3770</v>
      </c>
      <c r="E70" s="192">
        <v>34272.300000000003</v>
      </c>
      <c r="F70" s="250">
        <v>3.450151054378708E-3</v>
      </c>
      <c r="H70" s="401">
        <f t="shared" si="0"/>
        <v>0.72373898588656427</v>
      </c>
    </row>
    <row r="71" spans="1:8" s="227" customFormat="1" ht="30">
      <c r="A71" s="28" t="s">
        <v>1160</v>
      </c>
      <c r="B71" s="193" t="s">
        <v>1162</v>
      </c>
      <c r="C71" s="194" t="s">
        <v>167</v>
      </c>
      <c r="D71" s="195">
        <v>8</v>
      </c>
      <c r="E71" s="192">
        <v>34114.06</v>
      </c>
      <c r="F71" s="250">
        <v>3.4342212246665231E-3</v>
      </c>
      <c r="H71" s="401">
        <f t="shared" si="0"/>
        <v>0.72717320711123079</v>
      </c>
    </row>
    <row r="72" spans="1:8" s="227" customFormat="1">
      <c r="A72" s="587" t="s">
        <v>857</v>
      </c>
      <c r="B72" s="593" t="s">
        <v>859</v>
      </c>
      <c r="C72" s="504" t="s">
        <v>180</v>
      </c>
      <c r="D72" s="504">
        <v>138</v>
      </c>
      <c r="E72" s="192">
        <v>33720.449999999997</v>
      </c>
      <c r="F72" s="250">
        <v>3.3945969812829743E-3</v>
      </c>
      <c r="H72" s="401">
        <f t="shared" si="0"/>
        <v>0.73056780409251376</v>
      </c>
    </row>
    <row r="73" spans="1:8" s="227" customFormat="1">
      <c r="A73" s="28" t="s">
        <v>977</v>
      </c>
      <c r="B73" s="193" t="s">
        <v>979</v>
      </c>
      <c r="C73" s="194" t="s">
        <v>167</v>
      </c>
      <c r="D73" s="195">
        <v>8</v>
      </c>
      <c r="E73" s="192">
        <v>33244.379999999997</v>
      </c>
      <c r="F73" s="250">
        <v>3.3466715892766581E-3</v>
      </c>
      <c r="H73" s="401">
        <f t="shared" si="0"/>
        <v>0.73391447568179047</v>
      </c>
    </row>
    <row r="74" spans="1:8" s="227" customFormat="1" ht="30">
      <c r="A74" s="28" t="s">
        <v>181</v>
      </c>
      <c r="B74" s="193" t="s">
        <v>183</v>
      </c>
      <c r="C74" s="194" t="s">
        <v>180</v>
      </c>
      <c r="D74" s="195">
        <v>1635</v>
      </c>
      <c r="E74" s="192">
        <v>33018.69</v>
      </c>
      <c r="F74" s="250">
        <v>3.3239516495158976E-3</v>
      </c>
      <c r="H74" s="401">
        <f t="shared" si="0"/>
        <v>0.7372384273313064</v>
      </c>
    </row>
    <row r="75" spans="1:8" s="227" customFormat="1">
      <c r="A75" s="28" t="s">
        <v>152</v>
      </c>
      <c r="B75" s="193" t="s">
        <v>154</v>
      </c>
      <c r="C75" s="194" t="s">
        <v>144</v>
      </c>
      <c r="D75" s="195">
        <v>12</v>
      </c>
      <c r="E75" s="192">
        <v>32706.83</v>
      </c>
      <c r="F75" s="250">
        <v>3.2925570799124991E-3</v>
      </c>
      <c r="H75" s="401">
        <f t="shared" si="0"/>
        <v>0.7405309844112189</v>
      </c>
    </row>
    <row r="76" spans="1:8" s="227" customFormat="1">
      <c r="A76" s="28" t="s">
        <v>1225</v>
      </c>
      <c r="B76" s="193" t="s">
        <v>349</v>
      </c>
      <c r="C76" s="194" t="s">
        <v>163</v>
      </c>
      <c r="D76" s="195">
        <v>349</v>
      </c>
      <c r="E76" s="192">
        <v>32661.06</v>
      </c>
      <c r="F76" s="250">
        <v>3.2879494692835388E-3</v>
      </c>
      <c r="H76" s="401">
        <f t="shared" si="0"/>
        <v>0.74381893388050246</v>
      </c>
    </row>
    <row r="77" spans="1:8" s="227" customFormat="1" ht="14.45" customHeight="1">
      <c r="A77" s="589" t="s">
        <v>932</v>
      </c>
      <c r="B77" s="593" t="s">
        <v>934</v>
      </c>
      <c r="C77" s="504" t="s">
        <v>180</v>
      </c>
      <c r="D77" s="600">
        <v>208</v>
      </c>
      <c r="E77" s="192">
        <v>32472.84</v>
      </c>
      <c r="F77" s="250">
        <v>3.2690015891746705E-3</v>
      </c>
      <c r="H77" s="401">
        <f t="shared" si="0"/>
        <v>0.74708793546967711</v>
      </c>
    </row>
    <row r="78" spans="1:8" s="227" customFormat="1" ht="14.45" customHeight="1">
      <c r="A78" s="28" t="s">
        <v>1115</v>
      </c>
      <c r="B78" s="193" t="s">
        <v>1117</v>
      </c>
      <c r="C78" s="194" t="s">
        <v>167</v>
      </c>
      <c r="D78" s="195">
        <v>46</v>
      </c>
      <c r="E78" s="192">
        <v>30553.78</v>
      </c>
      <c r="F78" s="250">
        <v>3.0758121363974713E-3</v>
      </c>
      <c r="H78" s="401">
        <f t="shared" si="0"/>
        <v>0.75016374760607463</v>
      </c>
    </row>
    <row r="79" spans="1:8" s="227" customFormat="1" ht="25.5">
      <c r="A79" s="504" t="s">
        <v>341</v>
      </c>
      <c r="B79" s="505" t="s">
        <v>343</v>
      </c>
      <c r="C79" s="504" t="s">
        <v>180</v>
      </c>
      <c r="D79" s="504">
        <v>275</v>
      </c>
      <c r="E79" s="192">
        <v>29270.84</v>
      </c>
      <c r="F79" s="250">
        <v>2.9466601158530488E-3</v>
      </c>
      <c r="H79" s="401">
        <f t="shared" si="0"/>
        <v>0.75311040772192772</v>
      </c>
    </row>
    <row r="80" spans="1:8" s="227" customFormat="1">
      <c r="A80" s="28" t="s">
        <v>766</v>
      </c>
      <c r="B80" s="193" t="s">
        <v>773</v>
      </c>
      <c r="C80" s="194" t="s">
        <v>150</v>
      </c>
      <c r="D80" s="195">
        <v>126.5</v>
      </c>
      <c r="E80" s="192">
        <v>29079.02</v>
      </c>
      <c r="F80" s="250">
        <v>2.927349828091477E-3</v>
      </c>
      <c r="H80" s="401">
        <f t="shared" si="0"/>
        <v>0.75603775755001923</v>
      </c>
    </row>
    <row r="81" spans="1:8" s="227" customFormat="1" ht="30">
      <c r="A81" s="28" t="s">
        <v>986</v>
      </c>
      <c r="B81" s="193" t="s">
        <v>988</v>
      </c>
      <c r="C81" s="599" t="s">
        <v>180</v>
      </c>
      <c r="D81" s="195">
        <v>165</v>
      </c>
      <c r="E81" s="192">
        <v>28686.1</v>
      </c>
      <c r="F81" s="250">
        <v>2.8877950461746959E-3</v>
      </c>
      <c r="H81" s="401">
        <f t="shared" si="0"/>
        <v>0.75892555259619388</v>
      </c>
    </row>
    <row r="82" spans="1:8" s="227" customFormat="1">
      <c r="A82" s="28" t="s">
        <v>134</v>
      </c>
      <c r="B82" s="193" t="s">
        <v>136</v>
      </c>
      <c r="C82" s="194" t="s">
        <v>137</v>
      </c>
      <c r="D82" s="195">
        <v>96</v>
      </c>
      <c r="E82" s="192">
        <v>27878.83</v>
      </c>
      <c r="F82" s="250">
        <v>2.8065281501196229E-3</v>
      </c>
      <c r="H82" s="401">
        <f t="shared" si="0"/>
        <v>0.76173208074631349</v>
      </c>
    </row>
    <row r="83" spans="1:8" s="227" customFormat="1">
      <c r="A83" s="28" t="s">
        <v>138</v>
      </c>
      <c r="B83" s="193" t="s">
        <v>139</v>
      </c>
      <c r="C83" s="194" t="s">
        <v>137</v>
      </c>
      <c r="D83" s="195">
        <v>96</v>
      </c>
      <c r="E83" s="192">
        <v>27878.83</v>
      </c>
      <c r="F83" s="250">
        <v>2.8065281501196229E-3</v>
      </c>
      <c r="H83" s="401">
        <f t="shared" si="0"/>
        <v>0.7645386088964331</v>
      </c>
    </row>
    <row r="84" spans="1:8" s="227" customFormat="1">
      <c r="A84" s="28" t="s">
        <v>140</v>
      </c>
      <c r="B84" s="193" t="s">
        <v>141</v>
      </c>
      <c r="C84" s="194" t="s">
        <v>137</v>
      </c>
      <c r="D84" s="195">
        <v>96</v>
      </c>
      <c r="E84" s="192">
        <v>27878.83</v>
      </c>
      <c r="F84" s="250">
        <v>2.8065281501196229E-3</v>
      </c>
      <c r="H84" s="401">
        <f t="shared" ref="H84:H147" si="1">H83+F84</f>
        <v>0.76734513704655272</v>
      </c>
    </row>
    <row r="85" spans="1:8" s="227" customFormat="1" ht="45">
      <c r="A85" s="28" t="s">
        <v>2938</v>
      </c>
      <c r="B85" s="193" t="s">
        <v>2919</v>
      </c>
      <c r="C85" s="194" t="s">
        <v>1401</v>
      </c>
      <c r="D85" s="195">
        <v>170</v>
      </c>
      <c r="E85" s="192">
        <v>27490.02</v>
      </c>
      <c r="F85" s="250">
        <v>2.7673871169396789E-3</v>
      </c>
      <c r="H85" s="401">
        <f t="shared" si="1"/>
        <v>0.77011252416349241</v>
      </c>
    </row>
    <row r="86" spans="1:8" s="227" customFormat="1">
      <c r="A86" s="28" t="s">
        <v>209</v>
      </c>
      <c r="B86" s="193" t="s">
        <v>210</v>
      </c>
      <c r="C86" s="194" t="s">
        <v>180</v>
      </c>
      <c r="D86" s="195">
        <v>1958</v>
      </c>
      <c r="E86" s="192">
        <v>27382.47</v>
      </c>
      <c r="F86" s="250">
        <v>2.7565601883151503E-3</v>
      </c>
      <c r="H86" s="401">
        <f t="shared" si="1"/>
        <v>0.77286908435180757</v>
      </c>
    </row>
    <row r="87" spans="1:8" s="227" customFormat="1">
      <c r="A87" s="28" t="s">
        <v>284</v>
      </c>
      <c r="B87" s="193" t="s">
        <v>285</v>
      </c>
      <c r="C87" s="194" t="s">
        <v>180</v>
      </c>
      <c r="D87" s="195">
        <v>115</v>
      </c>
      <c r="E87" s="192">
        <v>27240.09</v>
      </c>
      <c r="F87" s="250">
        <v>2.7422269656507117E-3</v>
      </c>
      <c r="H87" s="401">
        <f t="shared" si="1"/>
        <v>0.77561131131745831</v>
      </c>
    </row>
    <row r="88" spans="1:8" s="227" customFormat="1">
      <c r="A88" s="28" t="s">
        <v>1233</v>
      </c>
      <c r="B88" s="193" t="s">
        <v>907</v>
      </c>
      <c r="C88" s="194" t="s">
        <v>180</v>
      </c>
      <c r="D88" s="195">
        <v>1006.25</v>
      </c>
      <c r="E88" s="192">
        <v>26982.37</v>
      </c>
      <c r="F88" s="250">
        <v>2.7162826044688101E-3</v>
      </c>
      <c r="H88" s="401">
        <f t="shared" si="1"/>
        <v>0.77832759392192707</v>
      </c>
    </row>
    <row r="89" spans="1:8" s="227" customFormat="1" ht="45">
      <c r="A89" s="28" t="s">
        <v>720</v>
      </c>
      <c r="B89" s="193" t="s">
        <v>722</v>
      </c>
      <c r="C89" s="194" t="s">
        <v>163</v>
      </c>
      <c r="D89" s="195">
        <v>6</v>
      </c>
      <c r="E89" s="192">
        <v>26950.43</v>
      </c>
      <c r="F89" s="250">
        <v>2.7130672432389875E-3</v>
      </c>
      <c r="H89" s="401">
        <f t="shared" si="1"/>
        <v>0.78104066116516602</v>
      </c>
    </row>
    <row r="90" spans="1:8" s="227" customFormat="1" ht="30">
      <c r="A90" s="28" t="s">
        <v>1011</v>
      </c>
      <c r="B90" s="193" t="s">
        <v>988</v>
      </c>
      <c r="C90" s="599" t="s">
        <v>180</v>
      </c>
      <c r="D90" s="195">
        <v>154</v>
      </c>
      <c r="E90" s="192">
        <v>26773.69</v>
      </c>
      <c r="F90" s="250">
        <v>2.6952750408670749E-3</v>
      </c>
      <c r="H90" s="401">
        <f t="shared" si="1"/>
        <v>0.7837359362060331</v>
      </c>
    </row>
    <row r="91" spans="1:8" s="227" customFormat="1">
      <c r="A91" s="591" t="s">
        <v>462</v>
      </c>
      <c r="B91" s="598" t="s">
        <v>464</v>
      </c>
      <c r="C91" s="600" t="s">
        <v>180</v>
      </c>
      <c r="D91" s="600">
        <v>47</v>
      </c>
      <c r="E91" s="192">
        <v>26617.5</v>
      </c>
      <c r="F91" s="250">
        <v>2.6795515821793473E-3</v>
      </c>
      <c r="H91" s="401">
        <f t="shared" si="1"/>
        <v>0.78641548778821246</v>
      </c>
    </row>
    <row r="92" spans="1:8" s="227" customFormat="1">
      <c r="A92" s="28" t="s">
        <v>1213</v>
      </c>
      <c r="B92" s="193" t="s">
        <v>1215</v>
      </c>
      <c r="C92" s="194" t="s">
        <v>180</v>
      </c>
      <c r="D92" s="195">
        <v>1</v>
      </c>
      <c r="E92" s="192">
        <v>25920.32</v>
      </c>
      <c r="F92" s="250">
        <v>2.6093673134815433E-3</v>
      </c>
      <c r="H92" s="401">
        <f t="shared" si="1"/>
        <v>0.78902485510169396</v>
      </c>
    </row>
    <row r="93" spans="1:8" s="227" customFormat="1" ht="30">
      <c r="A93" s="28" t="s">
        <v>793</v>
      </c>
      <c r="B93" s="193" t="s">
        <v>795</v>
      </c>
      <c r="C93" s="194" t="s">
        <v>150</v>
      </c>
      <c r="D93" s="195">
        <v>29.48</v>
      </c>
      <c r="E93" s="192">
        <v>25856.19</v>
      </c>
      <c r="F93" s="250">
        <v>2.6029114238237932E-3</v>
      </c>
      <c r="H93" s="401">
        <f t="shared" si="1"/>
        <v>0.7916277665255177</v>
      </c>
    </row>
    <row r="94" spans="1:8" s="227" customFormat="1">
      <c r="A94" s="28" t="s">
        <v>590</v>
      </c>
      <c r="B94" s="193" t="s">
        <v>592</v>
      </c>
      <c r="C94" s="194" t="s">
        <v>167</v>
      </c>
      <c r="D94" s="195">
        <v>264</v>
      </c>
      <c r="E94" s="192">
        <v>25396.46</v>
      </c>
      <c r="F94" s="250">
        <v>2.5566309598855832E-3</v>
      </c>
      <c r="H94" s="401">
        <f t="shared" si="1"/>
        <v>0.79418439748540326</v>
      </c>
    </row>
    <row r="95" spans="1:8" s="227" customFormat="1">
      <c r="A95" s="28" t="s">
        <v>2544</v>
      </c>
      <c r="B95" s="193" t="s">
        <v>2535</v>
      </c>
      <c r="C95" s="194" t="s">
        <v>150</v>
      </c>
      <c r="D95" s="195">
        <v>3000</v>
      </c>
      <c r="E95" s="192">
        <v>25150.5</v>
      </c>
      <c r="F95" s="250">
        <v>2.5318704637025142E-3</v>
      </c>
      <c r="H95" s="401">
        <f t="shared" si="1"/>
        <v>0.79671626794910577</v>
      </c>
    </row>
    <row r="96" spans="1:8" s="227" customFormat="1" ht="25.5">
      <c r="A96" s="587" t="s">
        <v>1235</v>
      </c>
      <c r="B96" s="592" t="s">
        <v>934</v>
      </c>
      <c r="C96" s="504" t="s">
        <v>180</v>
      </c>
      <c r="D96" s="504">
        <v>155.25</v>
      </c>
      <c r="E96" s="192">
        <v>24237.54</v>
      </c>
      <c r="F96" s="250">
        <v>2.4399638829768091E-3</v>
      </c>
      <c r="H96" s="401">
        <f t="shared" si="1"/>
        <v>0.79915623183208262</v>
      </c>
    </row>
    <row r="97" spans="1:8" s="227" customFormat="1" ht="75">
      <c r="A97" s="28" t="s">
        <v>2969</v>
      </c>
      <c r="B97" s="193" t="s">
        <v>2970</v>
      </c>
      <c r="C97" s="194" t="s">
        <v>167</v>
      </c>
      <c r="D97" s="195">
        <v>2</v>
      </c>
      <c r="E97" s="192">
        <v>23919.93</v>
      </c>
      <c r="F97" s="250">
        <v>2.4079904678170091E-3</v>
      </c>
      <c r="H97" s="401">
        <f t="shared" si="1"/>
        <v>0.80156422229989965</v>
      </c>
    </row>
    <row r="98" spans="1:8" s="227" customFormat="1">
      <c r="A98" s="28" t="s">
        <v>1210</v>
      </c>
      <c r="B98" s="193" t="s">
        <v>1212</v>
      </c>
      <c r="C98" s="194" t="s">
        <v>180</v>
      </c>
      <c r="D98" s="195">
        <v>1</v>
      </c>
      <c r="E98" s="192">
        <v>23498.42</v>
      </c>
      <c r="F98" s="250">
        <v>2.3655575651250049E-3</v>
      </c>
      <c r="H98" s="401">
        <f t="shared" si="1"/>
        <v>0.80392977986502467</v>
      </c>
    </row>
    <row r="99" spans="1:8" s="227" customFormat="1">
      <c r="A99" s="28" t="s">
        <v>1216</v>
      </c>
      <c r="B99" s="193" t="s">
        <v>1218</v>
      </c>
      <c r="C99" s="194" t="s">
        <v>180</v>
      </c>
      <c r="D99" s="195">
        <v>1</v>
      </c>
      <c r="E99" s="192">
        <v>23498.42</v>
      </c>
      <c r="F99" s="250">
        <v>2.3655575651250049E-3</v>
      </c>
      <c r="H99" s="401">
        <f t="shared" si="1"/>
        <v>0.80629533743014969</v>
      </c>
    </row>
    <row r="100" spans="1:8" s="227" customFormat="1">
      <c r="A100" s="28" t="s">
        <v>965</v>
      </c>
      <c r="B100" s="193" t="s">
        <v>967</v>
      </c>
      <c r="C100" s="194" t="s">
        <v>167</v>
      </c>
      <c r="D100" s="195">
        <v>1</v>
      </c>
      <c r="E100" s="192">
        <v>22226.65</v>
      </c>
      <c r="F100" s="250">
        <v>2.2375300149918885E-3</v>
      </c>
      <c r="H100" s="401">
        <f t="shared" si="1"/>
        <v>0.80853286744514163</v>
      </c>
    </row>
    <row r="101" spans="1:8" s="227" customFormat="1" ht="30">
      <c r="A101" s="28" t="s">
        <v>1044</v>
      </c>
      <c r="B101" s="193" t="s">
        <v>1046</v>
      </c>
      <c r="C101" s="194" t="s">
        <v>167</v>
      </c>
      <c r="D101" s="195">
        <v>12</v>
      </c>
      <c r="E101" s="192">
        <v>22020.880000000001</v>
      </c>
      <c r="F101" s="250">
        <v>2.2168153975760888E-3</v>
      </c>
      <c r="H101" s="401">
        <f t="shared" si="1"/>
        <v>0.81074968284271776</v>
      </c>
    </row>
    <row r="102" spans="1:8" s="227" customFormat="1">
      <c r="A102" s="28" t="s">
        <v>1548</v>
      </c>
      <c r="B102" s="193" t="s">
        <v>2531</v>
      </c>
      <c r="C102" s="194" t="s">
        <v>150</v>
      </c>
      <c r="D102" s="195">
        <v>1500</v>
      </c>
      <c r="E102" s="192">
        <v>21331.35</v>
      </c>
      <c r="F102" s="250">
        <v>2.1474012451402806E-3</v>
      </c>
      <c r="H102" s="401">
        <f t="shared" si="1"/>
        <v>0.81289708408785799</v>
      </c>
    </row>
    <row r="103" spans="1:8" s="227" customFormat="1" ht="14.45" customHeight="1">
      <c r="A103" s="28" t="s">
        <v>766</v>
      </c>
      <c r="B103" s="193" t="s">
        <v>768</v>
      </c>
      <c r="C103" s="194" t="s">
        <v>150</v>
      </c>
      <c r="D103" s="195">
        <v>247.81</v>
      </c>
      <c r="E103" s="192">
        <v>20010.63</v>
      </c>
      <c r="F103" s="250">
        <v>2.0144459576183155E-3</v>
      </c>
      <c r="H103" s="401">
        <f t="shared" si="1"/>
        <v>0.81491153004547634</v>
      </c>
    </row>
    <row r="104" spans="1:8" s="227" customFormat="1">
      <c r="A104" s="28" t="s">
        <v>2596</v>
      </c>
      <c r="B104" s="193" t="s">
        <v>2565</v>
      </c>
      <c r="C104" s="194" t="s">
        <v>180</v>
      </c>
      <c r="D104" s="195">
        <v>1890</v>
      </c>
      <c r="E104" s="192">
        <v>19882.310000000001</v>
      </c>
      <c r="F104" s="250">
        <v>2.0015281381752705E-3</v>
      </c>
      <c r="H104" s="401">
        <f t="shared" si="1"/>
        <v>0.81691305818365156</v>
      </c>
    </row>
    <row r="105" spans="1:8" s="227" customFormat="1" ht="30">
      <c r="A105" s="28" t="s">
        <v>488</v>
      </c>
      <c r="B105" s="193" t="s">
        <v>490</v>
      </c>
      <c r="C105" s="194" t="s">
        <v>167</v>
      </c>
      <c r="D105" s="195">
        <v>3</v>
      </c>
      <c r="E105" s="192">
        <v>19522.349999999999</v>
      </c>
      <c r="F105" s="250">
        <v>1.9652913996565783E-3</v>
      </c>
      <c r="H105" s="401">
        <f t="shared" si="1"/>
        <v>0.81887834958330818</v>
      </c>
    </row>
    <row r="106" spans="1:8" s="227" customFormat="1">
      <c r="A106" s="28" t="s">
        <v>764</v>
      </c>
      <c r="B106" s="193" t="s">
        <v>157</v>
      </c>
      <c r="C106" s="599" t="s">
        <v>158</v>
      </c>
      <c r="D106" s="195">
        <v>47</v>
      </c>
      <c r="E106" s="192">
        <v>19263.419999999998</v>
      </c>
      <c r="F106" s="250">
        <v>1.9392252292358516E-3</v>
      </c>
      <c r="H106" s="401">
        <f t="shared" si="1"/>
        <v>0.82081757481254403</v>
      </c>
    </row>
    <row r="107" spans="1:8" s="227" customFormat="1">
      <c r="A107" s="28" t="s">
        <v>729</v>
      </c>
      <c r="B107" s="193" t="s">
        <v>731</v>
      </c>
      <c r="C107" s="194" t="s">
        <v>167</v>
      </c>
      <c r="D107" s="195">
        <v>3</v>
      </c>
      <c r="E107" s="192">
        <v>19172.95</v>
      </c>
      <c r="F107" s="250">
        <v>1.9301177235858183E-3</v>
      </c>
      <c r="H107" s="401">
        <f t="shared" si="1"/>
        <v>0.82274769253612989</v>
      </c>
    </row>
    <row r="108" spans="1:8" s="227" customFormat="1">
      <c r="A108" s="28" t="s">
        <v>735</v>
      </c>
      <c r="B108" s="193" t="s">
        <v>731</v>
      </c>
      <c r="C108" s="194" t="s">
        <v>167</v>
      </c>
      <c r="D108" s="195">
        <v>3</v>
      </c>
      <c r="E108" s="192">
        <v>19172.95</v>
      </c>
      <c r="F108" s="250">
        <v>1.9301177235858183E-3</v>
      </c>
      <c r="H108" s="401">
        <f t="shared" si="1"/>
        <v>0.82467781025971576</v>
      </c>
    </row>
    <row r="109" spans="1:8" s="227" customFormat="1" ht="30">
      <c r="A109" s="28" t="s">
        <v>485</v>
      </c>
      <c r="B109" s="193" t="s">
        <v>487</v>
      </c>
      <c r="C109" s="194" t="s">
        <v>167</v>
      </c>
      <c r="D109" s="195">
        <v>2</v>
      </c>
      <c r="E109" s="192">
        <v>18699.95</v>
      </c>
      <c r="F109" s="250">
        <v>1.8825013847722247E-3</v>
      </c>
      <c r="H109" s="401">
        <f t="shared" si="1"/>
        <v>0.82656031164448796</v>
      </c>
    </row>
    <row r="110" spans="1:8" s="227" customFormat="1" ht="45">
      <c r="A110" s="28" t="s">
        <v>1195</v>
      </c>
      <c r="B110" s="193" t="s">
        <v>1197</v>
      </c>
      <c r="C110" s="194" t="s">
        <v>167</v>
      </c>
      <c r="D110" s="195">
        <v>3</v>
      </c>
      <c r="E110" s="192">
        <v>18622.849999999999</v>
      </c>
      <c r="F110" s="250">
        <v>1.8747398208768162E-3</v>
      </c>
      <c r="H110" s="401">
        <f t="shared" si="1"/>
        <v>0.82843505146536478</v>
      </c>
    </row>
    <row r="111" spans="1:8" s="227" customFormat="1" ht="45">
      <c r="A111" s="28" t="s">
        <v>1039</v>
      </c>
      <c r="B111" s="193" t="s">
        <v>1041</v>
      </c>
      <c r="C111" s="194" t="s">
        <v>167</v>
      </c>
      <c r="D111" s="195">
        <v>7</v>
      </c>
      <c r="E111" s="192">
        <v>18493.82</v>
      </c>
      <c r="F111" s="250">
        <v>1.8617505265911545E-3</v>
      </c>
      <c r="H111" s="401">
        <f t="shared" si="1"/>
        <v>0.83029680199195588</v>
      </c>
    </row>
    <row r="112" spans="1:8" s="227" customFormat="1">
      <c r="A112" s="588" t="s">
        <v>1204</v>
      </c>
      <c r="B112" s="594" t="s">
        <v>1206</v>
      </c>
      <c r="C112" s="504" t="s">
        <v>180</v>
      </c>
      <c r="D112" s="504">
        <v>1</v>
      </c>
      <c r="E112" s="192">
        <v>17412.62</v>
      </c>
      <c r="F112" s="250">
        <v>1.7529074282290878E-3</v>
      </c>
      <c r="H112" s="401">
        <f t="shared" si="1"/>
        <v>0.83204970942018497</v>
      </c>
    </row>
    <row r="113" spans="1:8" s="227" customFormat="1">
      <c r="A113" s="28" t="s">
        <v>1207</v>
      </c>
      <c r="B113" s="193" t="s">
        <v>1209</v>
      </c>
      <c r="C113" s="194" t="s">
        <v>180</v>
      </c>
      <c r="D113" s="195">
        <v>1</v>
      </c>
      <c r="E113" s="192">
        <v>17412.62</v>
      </c>
      <c r="F113" s="250">
        <v>1.7529074282290878E-3</v>
      </c>
      <c r="H113" s="401">
        <f t="shared" si="1"/>
        <v>0.83380261684841406</v>
      </c>
    </row>
    <row r="114" spans="1:8" s="227" customFormat="1">
      <c r="A114" s="28" t="s">
        <v>1069</v>
      </c>
      <c r="B114" s="193" t="s">
        <v>1071</v>
      </c>
      <c r="C114" s="194" t="s">
        <v>167</v>
      </c>
      <c r="D114" s="195">
        <v>32</v>
      </c>
      <c r="E114" s="192">
        <v>17280.22</v>
      </c>
      <c r="F114" s="250">
        <v>1.7395788801129785E-3</v>
      </c>
      <c r="H114" s="401">
        <f t="shared" si="1"/>
        <v>0.83554219572852706</v>
      </c>
    </row>
    <row r="115" spans="1:8" s="227" customFormat="1">
      <c r="A115" s="28" t="s">
        <v>453</v>
      </c>
      <c r="B115" s="193" t="s">
        <v>455</v>
      </c>
      <c r="C115" s="194" t="s">
        <v>180</v>
      </c>
      <c r="D115" s="195">
        <v>14</v>
      </c>
      <c r="E115" s="192">
        <v>16998.39</v>
      </c>
      <c r="F115" s="250">
        <v>1.7112073943458851E-3</v>
      </c>
      <c r="H115" s="401">
        <f t="shared" si="1"/>
        <v>0.837253403122873</v>
      </c>
    </row>
    <row r="116" spans="1:8" s="227" customFormat="1" ht="52.9" customHeight="1">
      <c r="A116" s="589" t="s">
        <v>406</v>
      </c>
      <c r="B116" s="593" t="s">
        <v>408</v>
      </c>
      <c r="C116" s="600" t="s">
        <v>167</v>
      </c>
      <c r="D116" s="600">
        <v>8</v>
      </c>
      <c r="E116" s="192">
        <v>16873.150000000001</v>
      </c>
      <c r="F116" s="250">
        <v>1.6985996347834867E-3</v>
      </c>
      <c r="H116" s="401">
        <f t="shared" si="1"/>
        <v>0.83895200275765647</v>
      </c>
    </row>
    <row r="117" spans="1:8" s="227" customFormat="1" ht="30">
      <c r="A117" s="28" t="s">
        <v>2645</v>
      </c>
      <c r="B117" s="193" t="s">
        <v>2619</v>
      </c>
      <c r="C117" s="194" t="s">
        <v>180</v>
      </c>
      <c r="D117" s="195">
        <v>1285.2</v>
      </c>
      <c r="E117" s="192">
        <v>16840.099999999999</v>
      </c>
      <c r="F117" s="250">
        <v>1.6952725311940799E-3</v>
      </c>
      <c r="H117" s="401">
        <f t="shared" si="1"/>
        <v>0.84064727528885053</v>
      </c>
    </row>
    <row r="118" spans="1:8" s="227" customFormat="1">
      <c r="A118" s="28" t="s">
        <v>1201</v>
      </c>
      <c r="B118" s="193" t="s">
        <v>1203</v>
      </c>
      <c r="C118" s="194" t="s">
        <v>180</v>
      </c>
      <c r="D118" s="195">
        <v>1</v>
      </c>
      <c r="E118" s="192">
        <v>16791.62</v>
      </c>
      <c r="F118" s="250">
        <v>1.6903921081376676E-3</v>
      </c>
      <c r="H118" s="401">
        <f t="shared" si="1"/>
        <v>0.84233766739698823</v>
      </c>
    </row>
    <row r="119" spans="1:8" s="227" customFormat="1">
      <c r="A119" s="590" t="s">
        <v>904</v>
      </c>
      <c r="B119" s="598" t="s">
        <v>905</v>
      </c>
      <c r="C119" s="600" t="s">
        <v>180</v>
      </c>
      <c r="D119" s="600">
        <v>949.3</v>
      </c>
      <c r="E119" s="192">
        <v>16695.07</v>
      </c>
      <c r="F119" s="250">
        <v>1.6806725362297345E-3</v>
      </c>
      <c r="H119" s="401">
        <f t="shared" si="1"/>
        <v>0.84401833993321795</v>
      </c>
    </row>
    <row r="120" spans="1:8" s="227" customFormat="1">
      <c r="A120" s="28" t="s">
        <v>320</v>
      </c>
      <c r="B120" s="193" t="s">
        <v>322</v>
      </c>
      <c r="C120" s="194" t="s">
        <v>180</v>
      </c>
      <c r="D120" s="195">
        <v>29.25</v>
      </c>
      <c r="E120" s="192">
        <v>16401.23</v>
      </c>
      <c r="F120" s="250">
        <v>1.6510920182657039E-3</v>
      </c>
      <c r="H120" s="401">
        <f t="shared" si="1"/>
        <v>0.8456694319514837</v>
      </c>
    </row>
    <row r="121" spans="1:8" s="227" customFormat="1" ht="26.45" customHeight="1">
      <c r="A121" s="28" t="s">
        <v>536</v>
      </c>
      <c r="B121" s="193" t="s">
        <v>538</v>
      </c>
      <c r="C121" s="194" t="s">
        <v>167</v>
      </c>
      <c r="D121" s="195">
        <v>18</v>
      </c>
      <c r="E121" s="192">
        <v>16236.24</v>
      </c>
      <c r="F121" s="250">
        <v>1.6344826742047001E-3</v>
      </c>
      <c r="H121" s="401">
        <f t="shared" si="1"/>
        <v>0.84730391462568844</v>
      </c>
    </row>
    <row r="122" spans="1:8" s="227" customFormat="1">
      <c r="A122" s="28" t="s">
        <v>2595</v>
      </c>
      <c r="B122" s="193" t="s">
        <v>2564</v>
      </c>
      <c r="C122" s="194" t="s">
        <v>180</v>
      </c>
      <c r="D122" s="195">
        <v>700</v>
      </c>
      <c r="E122" s="192">
        <v>16153.45</v>
      </c>
      <c r="F122" s="250">
        <v>1.6261483048804351E-3</v>
      </c>
      <c r="H122" s="401">
        <f t="shared" si="1"/>
        <v>0.84893006293056883</v>
      </c>
    </row>
    <row r="123" spans="1:8" s="227" customFormat="1">
      <c r="A123" s="28" t="s">
        <v>756</v>
      </c>
      <c r="B123" s="193" t="s">
        <v>758</v>
      </c>
      <c r="C123" s="194" t="s">
        <v>150</v>
      </c>
      <c r="D123" s="195">
        <v>1850</v>
      </c>
      <c r="E123" s="192">
        <v>16129.85</v>
      </c>
      <c r="F123" s="250">
        <v>1.6237725213793762E-3</v>
      </c>
      <c r="H123" s="401">
        <f t="shared" si="1"/>
        <v>0.85055383545194818</v>
      </c>
    </row>
    <row r="124" spans="1:8" s="227" customFormat="1" ht="45">
      <c r="A124" s="28" t="s">
        <v>409</v>
      </c>
      <c r="B124" s="193" t="s">
        <v>411</v>
      </c>
      <c r="C124" s="194" t="s">
        <v>167</v>
      </c>
      <c r="D124" s="195">
        <v>3</v>
      </c>
      <c r="E124" s="192">
        <v>16128.59</v>
      </c>
      <c r="F124" s="250">
        <v>1.6236456787009298E-3</v>
      </c>
      <c r="H124" s="401">
        <f t="shared" si="1"/>
        <v>0.85217748113064906</v>
      </c>
    </row>
    <row r="125" spans="1:8" s="227" customFormat="1" ht="14.45" customHeight="1">
      <c r="A125" s="28" t="s">
        <v>479</v>
      </c>
      <c r="B125" s="193" t="s">
        <v>481</v>
      </c>
      <c r="C125" s="194" t="s">
        <v>167</v>
      </c>
      <c r="D125" s="195">
        <v>3</v>
      </c>
      <c r="E125" s="192">
        <v>16061.51</v>
      </c>
      <c r="F125" s="250">
        <v>1.6168928161055475E-3</v>
      </c>
      <c r="H125" s="401">
        <f t="shared" si="1"/>
        <v>0.85379437394675461</v>
      </c>
    </row>
    <row r="126" spans="1:8" s="227" customFormat="1">
      <c r="A126" s="28" t="s">
        <v>2668</v>
      </c>
      <c r="B126" s="193" t="s">
        <v>2666</v>
      </c>
      <c r="C126" s="599" t="s">
        <v>167</v>
      </c>
      <c r="D126" s="195">
        <v>2</v>
      </c>
      <c r="E126" s="192">
        <v>15953.49</v>
      </c>
      <c r="F126" s="250">
        <v>1.6060185731485825E-3</v>
      </c>
      <c r="H126" s="401">
        <f t="shared" si="1"/>
        <v>0.85540039251990319</v>
      </c>
    </row>
    <row r="127" spans="1:8" s="227" customFormat="1">
      <c r="A127" s="28" t="s">
        <v>2543</v>
      </c>
      <c r="B127" s="193" t="s">
        <v>2534</v>
      </c>
      <c r="C127" s="194" t="s">
        <v>150</v>
      </c>
      <c r="D127" s="195">
        <v>3000</v>
      </c>
      <c r="E127" s="192">
        <v>15947.28</v>
      </c>
      <c r="F127" s="250">
        <v>1.6053934199476683E-3</v>
      </c>
      <c r="H127" s="401">
        <f t="shared" si="1"/>
        <v>0.85700578593985088</v>
      </c>
    </row>
    <row r="128" spans="1:8" s="227" customFormat="1">
      <c r="A128" s="28" t="s">
        <v>447</v>
      </c>
      <c r="B128" s="193" t="s">
        <v>449</v>
      </c>
      <c r="C128" s="194" t="s">
        <v>180</v>
      </c>
      <c r="D128" s="195">
        <v>3</v>
      </c>
      <c r="E128" s="192">
        <v>15408.78</v>
      </c>
      <c r="F128" s="250">
        <v>1.5511832752307124E-3</v>
      </c>
      <c r="H128" s="401">
        <f t="shared" si="1"/>
        <v>0.85855696921508162</v>
      </c>
    </row>
    <row r="129" spans="1:8" s="227" customFormat="1">
      <c r="A129" s="28" t="s">
        <v>788</v>
      </c>
      <c r="B129" s="193" t="s">
        <v>790</v>
      </c>
      <c r="C129" s="194" t="s">
        <v>167</v>
      </c>
      <c r="D129" s="195">
        <v>2</v>
      </c>
      <c r="E129" s="192">
        <v>15292.68</v>
      </c>
      <c r="F129" s="250">
        <v>1.539495628431012E-3</v>
      </c>
      <c r="H129" s="401">
        <f t="shared" si="1"/>
        <v>0.86009646484351265</v>
      </c>
    </row>
    <row r="130" spans="1:8" s="227" customFormat="1">
      <c r="A130" s="28" t="s">
        <v>936</v>
      </c>
      <c r="B130" s="193" t="s">
        <v>938</v>
      </c>
      <c r="C130" s="194" t="s">
        <v>167</v>
      </c>
      <c r="D130" s="195">
        <v>405</v>
      </c>
      <c r="E130" s="192">
        <v>15276.41</v>
      </c>
      <c r="F130" s="250">
        <v>1.5378577471783753E-3</v>
      </c>
      <c r="H130" s="401">
        <f t="shared" si="1"/>
        <v>0.86163432259069106</v>
      </c>
    </row>
    <row r="131" spans="1:8" s="227" customFormat="1" ht="14.45" customHeight="1">
      <c r="A131" s="589" t="s">
        <v>1058</v>
      </c>
      <c r="B131" s="593" t="s">
        <v>1060</v>
      </c>
      <c r="C131" s="504" t="s">
        <v>167</v>
      </c>
      <c r="D131" s="600">
        <v>26</v>
      </c>
      <c r="E131" s="192">
        <v>15225.62</v>
      </c>
      <c r="F131" s="250">
        <v>1.5327447792114781E-3</v>
      </c>
      <c r="H131" s="401">
        <f t="shared" si="1"/>
        <v>0.86316706736990256</v>
      </c>
    </row>
    <row r="132" spans="1:8" s="227" customFormat="1">
      <c r="A132" s="587" t="s">
        <v>1236</v>
      </c>
      <c r="B132" s="593" t="s">
        <v>913</v>
      </c>
      <c r="C132" s="504" t="s">
        <v>167</v>
      </c>
      <c r="D132" s="504">
        <v>384</v>
      </c>
      <c r="E132" s="192">
        <v>15209.23</v>
      </c>
      <c r="F132" s="250">
        <v>1.5310948177037511E-3</v>
      </c>
      <c r="H132" s="401">
        <f t="shared" si="1"/>
        <v>0.86469816218760631</v>
      </c>
    </row>
    <row r="133" spans="1:8" s="227" customFormat="1" ht="30">
      <c r="A133" s="28" t="s">
        <v>384</v>
      </c>
      <c r="B133" s="193" t="s">
        <v>386</v>
      </c>
      <c r="C133" s="194" t="s">
        <v>167</v>
      </c>
      <c r="D133" s="195">
        <v>1</v>
      </c>
      <c r="E133" s="192">
        <v>14573.71</v>
      </c>
      <c r="F133" s="250">
        <v>1.4671177867464252E-3</v>
      </c>
      <c r="H133" s="401">
        <f t="shared" si="1"/>
        <v>0.86616527997435278</v>
      </c>
    </row>
    <row r="134" spans="1:8" s="227" customFormat="1">
      <c r="A134" s="588" t="s">
        <v>971</v>
      </c>
      <c r="B134" s="505" t="s">
        <v>973</v>
      </c>
      <c r="C134" s="504" t="s">
        <v>167</v>
      </c>
      <c r="D134" s="504">
        <v>1</v>
      </c>
      <c r="E134" s="192">
        <v>14402.05</v>
      </c>
      <c r="F134" s="250">
        <v>1.4498369818399951E-3</v>
      </c>
      <c r="H134" s="401">
        <f t="shared" si="1"/>
        <v>0.86761511695619276</v>
      </c>
    </row>
    <row r="135" spans="1:8" s="227" customFormat="1">
      <c r="A135" s="28" t="s">
        <v>974</v>
      </c>
      <c r="B135" s="193" t="s">
        <v>976</v>
      </c>
      <c r="C135" s="194" t="s">
        <v>167</v>
      </c>
      <c r="D135" s="195">
        <v>1</v>
      </c>
      <c r="E135" s="192">
        <v>14402.05</v>
      </c>
      <c r="F135" s="250">
        <v>1.4498369818399951E-3</v>
      </c>
      <c r="H135" s="401">
        <f t="shared" si="1"/>
        <v>0.86906495393803274</v>
      </c>
    </row>
    <row r="136" spans="1:8" s="227" customFormat="1" ht="30">
      <c r="A136" s="28" t="s">
        <v>1083</v>
      </c>
      <c r="B136" s="193" t="s">
        <v>1085</v>
      </c>
      <c r="C136" s="194" t="s">
        <v>167</v>
      </c>
      <c r="D136" s="195">
        <v>3</v>
      </c>
      <c r="E136" s="192">
        <v>13997.4</v>
      </c>
      <c r="F136" s="250">
        <v>1.4091013549881542E-3</v>
      </c>
      <c r="H136" s="401">
        <f t="shared" si="1"/>
        <v>0.87047405529302091</v>
      </c>
    </row>
    <row r="137" spans="1:8" s="227" customFormat="1">
      <c r="A137" s="28" t="s">
        <v>906</v>
      </c>
      <c r="B137" s="193" t="s">
        <v>907</v>
      </c>
      <c r="C137" s="194" t="s">
        <v>180</v>
      </c>
      <c r="D137" s="195">
        <v>516.5</v>
      </c>
      <c r="E137" s="192">
        <v>13849.83</v>
      </c>
      <c r="F137" s="250">
        <v>1.3942456612910676E-3</v>
      </c>
      <c r="H137" s="401">
        <f t="shared" si="1"/>
        <v>0.871868300954312</v>
      </c>
    </row>
    <row r="138" spans="1:8" s="227" customFormat="1">
      <c r="A138" s="28" t="s">
        <v>1242</v>
      </c>
      <c r="B138" s="193" t="s">
        <v>1244</v>
      </c>
      <c r="C138" s="194" t="s">
        <v>167</v>
      </c>
      <c r="D138" s="195">
        <v>464</v>
      </c>
      <c r="E138" s="192">
        <v>13761.88</v>
      </c>
      <c r="F138" s="250">
        <v>1.3853918409979268E-3</v>
      </c>
      <c r="H138" s="401">
        <f t="shared" si="1"/>
        <v>0.87325369279530995</v>
      </c>
    </row>
    <row r="139" spans="1:8" s="227" customFormat="1">
      <c r="A139" s="28" t="s">
        <v>222</v>
      </c>
      <c r="B139" s="193" t="s">
        <v>224</v>
      </c>
      <c r="C139" s="194" t="s">
        <v>180</v>
      </c>
      <c r="D139" s="195">
        <v>386</v>
      </c>
      <c r="E139" s="192">
        <v>13720.77</v>
      </c>
      <c r="F139" s="250">
        <v>1.3812533469416332E-3</v>
      </c>
      <c r="H139" s="401">
        <f t="shared" si="1"/>
        <v>0.87463494614225157</v>
      </c>
    </row>
    <row r="140" spans="1:8" s="227" customFormat="1" ht="30">
      <c r="A140" s="28" t="s">
        <v>326</v>
      </c>
      <c r="B140" s="193" t="s">
        <v>327</v>
      </c>
      <c r="C140" s="194" t="s">
        <v>180</v>
      </c>
      <c r="D140" s="195">
        <v>10.75</v>
      </c>
      <c r="E140" s="192">
        <v>13713.19</v>
      </c>
      <c r="F140" s="250">
        <v>1.3804902774951068E-3</v>
      </c>
      <c r="H140" s="401">
        <f t="shared" si="1"/>
        <v>0.87601543641974666</v>
      </c>
    </row>
    <row r="141" spans="1:8" s="227" customFormat="1" ht="45">
      <c r="A141" s="28" t="s">
        <v>2962</v>
      </c>
      <c r="B141" s="193" t="s">
        <v>2958</v>
      </c>
      <c r="C141" s="194" t="s">
        <v>144</v>
      </c>
      <c r="D141" s="195">
        <v>12</v>
      </c>
      <c r="E141" s="192">
        <v>13425.37</v>
      </c>
      <c r="F141" s="250">
        <v>1.3515157856614313E-3</v>
      </c>
      <c r="H141" s="401">
        <f t="shared" si="1"/>
        <v>0.87736695220540806</v>
      </c>
    </row>
    <row r="142" spans="1:8" s="227" customFormat="1">
      <c r="A142" s="28" t="s">
        <v>753</v>
      </c>
      <c r="B142" s="193" t="s">
        <v>755</v>
      </c>
      <c r="C142" s="194" t="s">
        <v>180</v>
      </c>
      <c r="D142" s="195">
        <v>1155</v>
      </c>
      <c r="E142" s="192">
        <v>13240.53</v>
      </c>
      <c r="F142" s="250">
        <v>1.3329081660709351E-3</v>
      </c>
      <c r="H142" s="401">
        <f t="shared" si="1"/>
        <v>0.87869986037147896</v>
      </c>
    </row>
    <row r="143" spans="1:8" s="227" customFormat="1">
      <c r="A143" s="28" t="s">
        <v>155</v>
      </c>
      <c r="B143" s="193" t="s">
        <v>157</v>
      </c>
      <c r="C143" s="194" t="s">
        <v>158</v>
      </c>
      <c r="D143" s="195">
        <v>32</v>
      </c>
      <c r="E143" s="192">
        <v>13115.52</v>
      </c>
      <c r="F143" s="250">
        <v>1.3203235603307926E-3</v>
      </c>
      <c r="H143" s="401">
        <f t="shared" si="1"/>
        <v>0.8800201839318097</v>
      </c>
    </row>
    <row r="144" spans="1:8" s="227" customFormat="1" ht="26.45" customHeight="1">
      <c r="A144" s="589" t="s">
        <v>1130</v>
      </c>
      <c r="B144" s="593" t="s">
        <v>2997</v>
      </c>
      <c r="C144" s="504" t="s">
        <v>167</v>
      </c>
      <c r="D144" s="600">
        <v>1</v>
      </c>
      <c r="E144" s="192">
        <v>13082.18</v>
      </c>
      <c r="F144" s="250">
        <v>1.316967262791585E-3</v>
      </c>
      <c r="H144" s="401">
        <f t="shared" si="1"/>
        <v>0.88133715119460132</v>
      </c>
    </row>
    <row r="145" spans="1:8" s="227" customFormat="1">
      <c r="A145" s="28" t="s">
        <v>866</v>
      </c>
      <c r="B145" s="193" t="s">
        <v>867</v>
      </c>
      <c r="C145" s="194" t="s">
        <v>167</v>
      </c>
      <c r="D145" s="195">
        <v>540</v>
      </c>
      <c r="E145" s="192">
        <v>13051.43</v>
      </c>
      <c r="F145" s="250">
        <v>1.3138716974247394E-3</v>
      </c>
      <c r="H145" s="401">
        <f t="shared" si="1"/>
        <v>0.88265102289202602</v>
      </c>
    </row>
    <row r="146" spans="1:8" s="227" customFormat="1" ht="14.45" customHeight="1">
      <c r="A146" s="589" t="s">
        <v>1508</v>
      </c>
      <c r="B146" s="593" t="s">
        <v>2529</v>
      </c>
      <c r="C146" s="504" t="s">
        <v>150</v>
      </c>
      <c r="D146" s="600">
        <v>100</v>
      </c>
      <c r="E146" s="192">
        <v>13009.95</v>
      </c>
      <c r="F146" s="250">
        <v>1.3096959559152513E-3</v>
      </c>
      <c r="H146" s="401">
        <f t="shared" si="1"/>
        <v>0.88396071884794125</v>
      </c>
    </row>
    <row r="147" spans="1:8" s="227" customFormat="1" ht="14.45" customHeight="1">
      <c r="A147" s="591" t="s">
        <v>779</v>
      </c>
      <c r="B147" s="598" t="s">
        <v>781</v>
      </c>
      <c r="C147" s="600" t="s">
        <v>167</v>
      </c>
      <c r="D147" s="600">
        <v>3</v>
      </c>
      <c r="E147" s="192">
        <v>12692.52</v>
      </c>
      <c r="F147" s="250">
        <v>1.2777406611380862E-3</v>
      </c>
      <c r="H147" s="401">
        <f t="shared" si="1"/>
        <v>0.88523845950907931</v>
      </c>
    </row>
    <row r="148" spans="1:8" s="227" customFormat="1" ht="30">
      <c r="A148" s="28" t="s">
        <v>353</v>
      </c>
      <c r="B148" s="193" t="s">
        <v>355</v>
      </c>
      <c r="C148" s="194" t="s">
        <v>167</v>
      </c>
      <c r="D148" s="195">
        <v>60</v>
      </c>
      <c r="E148" s="192">
        <v>12572.27</v>
      </c>
      <c r="F148" s="250">
        <v>1.2656352388498524E-3</v>
      </c>
      <c r="H148" s="401">
        <f t="shared" ref="H148:H256" si="2">H147+F148</f>
        <v>0.88650409474792913</v>
      </c>
    </row>
    <row r="149" spans="1:8" s="227" customFormat="1" ht="14.45" customHeight="1">
      <c r="A149" s="28" t="s">
        <v>219</v>
      </c>
      <c r="B149" s="193" t="s">
        <v>221</v>
      </c>
      <c r="C149" s="194" t="s">
        <v>180</v>
      </c>
      <c r="D149" s="195">
        <v>393</v>
      </c>
      <c r="E149" s="192">
        <v>12451.58</v>
      </c>
      <c r="F149" s="250">
        <v>1.2534855222929545E-3</v>
      </c>
      <c r="H149" s="401">
        <f t="shared" si="2"/>
        <v>0.88775758027022211</v>
      </c>
    </row>
    <row r="150" spans="1:8" s="227" customFormat="1" ht="25.5">
      <c r="A150" s="504" t="s">
        <v>476</v>
      </c>
      <c r="B150" s="505" t="s">
        <v>478</v>
      </c>
      <c r="C150" s="504" t="s">
        <v>167</v>
      </c>
      <c r="D150" s="504">
        <v>2</v>
      </c>
      <c r="E150" s="192">
        <v>12327.81</v>
      </c>
      <c r="F150" s="250">
        <v>1.2410257458554102E-3</v>
      </c>
      <c r="H150" s="401">
        <f t="shared" si="2"/>
        <v>0.8889986060160775</v>
      </c>
    </row>
    <row r="151" spans="1:8" s="227" customFormat="1" ht="120">
      <c r="A151" s="28" t="s">
        <v>1124</v>
      </c>
      <c r="B151" s="193" t="s">
        <v>2995</v>
      </c>
      <c r="C151" s="194" t="s">
        <v>167</v>
      </c>
      <c r="D151" s="195">
        <v>1</v>
      </c>
      <c r="E151" s="192">
        <v>12243.11</v>
      </c>
      <c r="F151" s="250">
        <v>1.2324990991376271E-3</v>
      </c>
      <c r="H151" s="401">
        <f t="shared" si="2"/>
        <v>0.89023110511521508</v>
      </c>
    </row>
    <row r="152" spans="1:8" s="227" customFormat="1">
      <c r="A152" s="28" t="s">
        <v>616</v>
      </c>
      <c r="B152" s="193" t="s">
        <v>618</v>
      </c>
      <c r="C152" s="194" t="s">
        <v>167</v>
      </c>
      <c r="D152" s="195">
        <v>16</v>
      </c>
      <c r="E152" s="192">
        <v>12215.42</v>
      </c>
      <c r="F152" s="250">
        <v>1.2297115802755796E-3</v>
      </c>
      <c r="H152" s="401">
        <f t="shared" si="2"/>
        <v>0.89146081669549071</v>
      </c>
    </row>
    <row r="153" spans="1:8" s="227" customFormat="1" ht="30">
      <c r="A153" s="28" t="s">
        <v>494</v>
      </c>
      <c r="B153" s="193" t="s">
        <v>496</v>
      </c>
      <c r="C153" s="194" t="s">
        <v>167</v>
      </c>
      <c r="D153" s="195">
        <v>7</v>
      </c>
      <c r="E153" s="192">
        <v>12064.7</v>
      </c>
      <c r="F153" s="250">
        <v>1.2145387798823772E-3</v>
      </c>
      <c r="H153" s="401">
        <f t="shared" si="2"/>
        <v>0.89267535547537313</v>
      </c>
    </row>
    <row r="154" spans="1:8" s="227" customFormat="1" ht="25.5">
      <c r="A154" s="588" t="s">
        <v>1168</v>
      </c>
      <c r="B154" s="505" t="s">
        <v>1170</v>
      </c>
      <c r="C154" s="504" t="s">
        <v>1171</v>
      </c>
      <c r="D154" s="504">
        <v>318</v>
      </c>
      <c r="E154" s="192">
        <v>12008.38</v>
      </c>
      <c r="F154" s="250">
        <v>1.2088691134934096E-3</v>
      </c>
      <c r="H154" s="401">
        <f t="shared" si="2"/>
        <v>0.89388422458886652</v>
      </c>
    </row>
    <row r="155" spans="1:8" s="227" customFormat="1" ht="120">
      <c r="A155" s="626" t="s">
        <v>1118</v>
      </c>
      <c r="B155" s="654" t="s">
        <v>2993</v>
      </c>
      <c r="C155" s="625" t="s">
        <v>167</v>
      </c>
      <c r="D155" s="655">
        <v>1</v>
      </c>
      <c r="E155" s="622">
        <v>11907.51</v>
      </c>
      <c r="F155" s="621">
        <v>1.1987146524022317E-3</v>
      </c>
      <c r="H155" s="401">
        <f t="shared" si="2"/>
        <v>0.89508293924126869</v>
      </c>
    </row>
    <row r="156" spans="1:8" s="227" customFormat="1">
      <c r="A156" s="626" t="s">
        <v>860</v>
      </c>
      <c r="B156" s="654" t="s">
        <v>862</v>
      </c>
      <c r="C156" s="625" t="s">
        <v>167</v>
      </c>
      <c r="D156" s="655">
        <v>446</v>
      </c>
      <c r="E156" s="622">
        <v>11026.01</v>
      </c>
      <c r="F156" s="621">
        <v>1.1099751118859888E-3</v>
      </c>
      <c r="H156" s="401">
        <f t="shared" si="2"/>
        <v>0.89619291435315473</v>
      </c>
    </row>
    <row r="157" spans="1:8" s="227" customFormat="1">
      <c r="A157" s="626" t="s">
        <v>2660</v>
      </c>
      <c r="B157" s="654" t="s">
        <v>2643</v>
      </c>
      <c r="C157" s="625" t="s">
        <v>167</v>
      </c>
      <c r="D157" s="655">
        <v>184</v>
      </c>
      <c r="E157" s="622">
        <v>10674.54</v>
      </c>
      <c r="F157" s="621">
        <v>1.0745930514149237E-3</v>
      </c>
      <c r="H157" s="401">
        <f t="shared" si="2"/>
        <v>0.89726750740456962</v>
      </c>
    </row>
    <row r="158" spans="1:8" s="227" customFormat="1" ht="30">
      <c r="A158" s="626" t="s">
        <v>1080</v>
      </c>
      <c r="B158" s="654" t="s">
        <v>1082</v>
      </c>
      <c r="C158" s="625" t="s">
        <v>167</v>
      </c>
      <c r="D158" s="655">
        <v>2</v>
      </c>
      <c r="E158" s="622">
        <v>10531.48</v>
      </c>
      <c r="F158" s="621">
        <v>1.0601913739716408E-3</v>
      </c>
      <c r="H158" s="401">
        <f t="shared" si="2"/>
        <v>0.89832769877854124</v>
      </c>
    </row>
    <row r="159" spans="1:8" s="227" customFormat="1" ht="30">
      <c r="A159" s="626" t="s">
        <v>530</v>
      </c>
      <c r="B159" s="654" t="s">
        <v>532</v>
      </c>
      <c r="C159" s="625" t="s">
        <v>167</v>
      </c>
      <c r="D159" s="655">
        <v>6</v>
      </c>
      <c r="E159" s="622">
        <v>10470.61</v>
      </c>
      <c r="F159" s="621">
        <v>1.0540636645771729E-3</v>
      </c>
      <c r="H159" s="401">
        <f t="shared" si="2"/>
        <v>0.8993817624431184</v>
      </c>
    </row>
    <row r="160" spans="1:8" s="227" customFormat="1">
      <c r="A160" s="626" t="s">
        <v>852</v>
      </c>
      <c r="B160" s="654" t="s">
        <v>853</v>
      </c>
      <c r="C160" s="625" t="s">
        <v>180</v>
      </c>
      <c r="D160" s="655">
        <v>98</v>
      </c>
      <c r="E160" s="622">
        <v>10431.06</v>
      </c>
      <c r="F160" s="621">
        <v>1.0500822138370509E-3</v>
      </c>
      <c r="H160" s="401">
        <f t="shared" si="2"/>
        <v>0.90043184465695547</v>
      </c>
    </row>
    <row r="161" spans="1:8" s="227" customFormat="1">
      <c r="A161" s="626" t="s">
        <v>459</v>
      </c>
      <c r="B161" s="654" t="s">
        <v>461</v>
      </c>
      <c r="C161" s="625" t="s">
        <v>180</v>
      </c>
      <c r="D161" s="655">
        <v>10</v>
      </c>
      <c r="E161" s="622">
        <v>10363.530000000001</v>
      </c>
      <c r="F161" s="621">
        <v>1.0432840502850806E-3</v>
      </c>
      <c r="H161" s="401">
        <f t="shared" si="2"/>
        <v>0.90147512870724056</v>
      </c>
    </row>
    <row r="162" spans="1:8" s="227" customFormat="1">
      <c r="A162" s="626" t="s">
        <v>465</v>
      </c>
      <c r="B162" s="654" t="s">
        <v>467</v>
      </c>
      <c r="C162" s="625" t="s">
        <v>180</v>
      </c>
      <c r="D162" s="655">
        <v>36</v>
      </c>
      <c r="E162" s="622">
        <v>10317.01</v>
      </c>
      <c r="F162" s="621">
        <v>1.038600938061807E-3</v>
      </c>
      <c r="H162" s="401">
        <f t="shared" si="2"/>
        <v>0.90251372964530241</v>
      </c>
    </row>
    <row r="163" spans="1:8" s="227" customFormat="1" ht="120">
      <c r="A163" s="626" t="s">
        <v>1148</v>
      </c>
      <c r="B163" s="654" t="s">
        <v>3003</v>
      </c>
      <c r="C163" s="625" t="s">
        <v>167</v>
      </c>
      <c r="D163" s="655">
        <v>1</v>
      </c>
      <c r="E163" s="622">
        <v>10262.01</v>
      </c>
      <c r="F163" s="621">
        <v>1.033064154478831E-3</v>
      </c>
      <c r="H163" s="401">
        <f t="shared" si="2"/>
        <v>0.9035467937997812</v>
      </c>
    </row>
    <row r="164" spans="1:8" s="227" customFormat="1" ht="120">
      <c r="A164" s="626" t="s">
        <v>3019</v>
      </c>
      <c r="B164" s="654" t="s">
        <v>3020</v>
      </c>
      <c r="C164" s="625" t="s">
        <v>167</v>
      </c>
      <c r="D164" s="655">
        <v>1</v>
      </c>
      <c r="E164" s="622">
        <v>10155.74</v>
      </c>
      <c r="F164" s="621">
        <v>1.0223660819085971E-3</v>
      </c>
      <c r="H164" s="401">
        <f t="shared" si="2"/>
        <v>0.90456915988168984</v>
      </c>
    </row>
    <row r="165" spans="1:8" s="227" customFormat="1">
      <c r="A165" s="626" t="s">
        <v>2677</v>
      </c>
      <c r="B165" s="654" t="s">
        <v>2670</v>
      </c>
      <c r="C165" s="625" t="s">
        <v>180</v>
      </c>
      <c r="D165" s="655">
        <v>130</v>
      </c>
      <c r="E165" s="622">
        <v>10023.44</v>
      </c>
      <c r="F165" s="621">
        <v>1.0090476006717295E-3</v>
      </c>
      <c r="H165" s="401">
        <f t="shared" si="2"/>
        <v>0.90557820748236162</v>
      </c>
    </row>
    <row r="166" spans="1:8" s="227" customFormat="1" ht="45">
      <c r="A166" s="626" t="s">
        <v>1192</v>
      </c>
      <c r="B166" s="654" t="s">
        <v>1194</v>
      </c>
      <c r="C166" s="671" t="s">
        <v>180</v>
      </c>
      <c r="D166" s="655">
        <v>133.9</v>
      </c>
      <c r="E166" s="622">
        <v>9982.23</v>
      </c>
      <c r="F166" s="621">
        <v>1.004899039736194E-3</v>
      </c>
      <c r="H166" s="401">
        <f t="shared" si="2"/>
        <v>0.90658310652209784</v>
      </c>
    </row>
    <row r="167" spans="1:8" s="227" customFormat="1">
      <c r="A167" s="626" t="s">
        <v>1105</v>
      </c>
      <c r="B167" s="654" t="s">
        <v>1107</v>
      </c>
      <c r="C167" s="671" t="s">
        <v>167</v>
      </c>
      <c r="D167" s="655">
        <v>6</v>
      </c>
      <c r="E167" s="622">
        <v>9670.44</v>
      </c>
      <c r="F167" s="621">
        <v>9.7351151694826516E-4</v>
      </c>
      <c r="H167" s="401">
        <f t="shared" si="2"/>
        <v>0.90755661803904608</v>
      </c>
    </row>
    <row r="168" spans="1:8" s="227" customFormat="1">
      <c r="A168" s="626" t="s">
        <v>622</v>
      </c>
      <c r="B168" s="654" t="s">
        <v>623</v>
      </c>
      <c r="C168" s="625" t="s">
        <v>167</v>
      </c>
      <c r="D168" s="655">
        <v>12</v>
      </c>
      <c r="E168" s="622">
        <v>9571.94</v>
      </c>
      <c r="F168" s="621">
        <v>9.6359564089511728E-4</v>
      </c>
      <c r="H168" s="401">
        <f t="shared" si="2"/>
        <v>0.90852021367994118</v>
      </c>
    </row>
    <row r="169" spans="1:8" s="227" customFormat="1">
      <c r="A169" s="626" t="s">
        <v>610</v>
      </c>
      <c r="B169" s="654" t="s">
        <v>612</v>
      </c>
      <c r="C169" s="625" t="s">
        <v>167</v>
      </c>
      <c r="D169" s="655">
        <v>10</v>
      </c>
      <c r="E169" s="622">
        <v>9447.58</v>
      </c>
      <c r="F169" s="621">
        <v>9.5107646987004633E-4</v>
      </c>
      <c r="H169" s="401">
        <f t="shared" si="2"/>
        <v>0.90947129014981121</v>
      </c>
    </row>
    <row r="170" spans="1:8" s="227" customFormat="1" ht="120">
      <c r="A170" s="626" t="s">
        <v>1142</v>
      </c>
      <c r="B170" s="654" t="s">
        <v>3001</v>
      </c>
      <c r="C170" s="625" t="s">
        <v>167</v>
      </c>
      <c r="D170" s="655">
        <v>1</v>
      </c>
      <c r="E170" s="622">
        <v>8988.5300000000007</v>
      </c>
      <c r="F170" s="621">
        <v>9.0486446071068023E-4</v>
      </c>
      <c r="H170" s="401">
        <f t="shared" si="2"/>
        <v>0.9103761546105219</v>
      </c>
    </row>
    <row r="171" spans="1:8" s="227" customFormat="1">
      <c r="A171" s="626" t="s">
        <v>2896</v>
      </c>
      <c r="B171" s="654" t="s">
        <v>2870</v>
      </c>
      <c r="C171" s="625" t="s">
        <v>1401</v>
      </c>
      <c r="D171" s="655">
        <v>2</v>
      </c>
      <c r="E171" s="622">
        <v>8962.07</v>
      </c>
      <c r="F171" s="621">
        <v>9.022007644633066E-4</v>
      </c>
      <c r="H171" s="401">
        <f t="shared" si="2"/>
        <v>0.91127835537498525</v>
      </c>
    </row>
    <row r="172" spans="1:8" s="227" customFormat="1" ht="120">
      <c r="A172" s="626" t="s">
        <v>3015</v>
      </c>
      <c r="B172" s="654" t="s">
        <v>3016</v>
      </c>
      <c r="C172" s="625" t="s">
        <v>167</v>
      </c>
      <c r="D172" s="655">
        <v>1</v>
      </c>
      <c r="E172" s="622">
        <v>8959.5400000000009</v>
      </c>
      <c r="F172" s="621">
        <v>9.0194607241848976E-4</v>
      </c>
      <c r="H172" s="401">
        <f t="shared" si="2"/>
        <v>0.9121803014474037</v>
      </c>
    </row>
    <row r="173" spans="1:8" s="227" customFormat="1">
      <c r="A173" s="626" t="s">
        <v>1250</v>
      </c>
      <c r="B173" s="654" t="s">
        <v>1251</v>
      </c>
      <c r="C173" s="625" t="s">
        <v>150</v>
      </c>
      <c r="D173" s="655">
        <v>1155</v>
      </c>
      <c r="E173" s="622">
        <v>8783.5</v>
      </c>
      <c r="F173" s="621">
        <v>8.8422433820126969E-4</v>
      </c>
      <c r="H173" s="401">
        <f t="shared" si="2"/>
        <v>0.91306452578560493</v>
      </c>
    </row>
    <row r="174" spans="1:8" s="227" customFormat="1" ht="30">
      <c r="A174" s="626" t="s">
        <v>1077</v>
      </c>
      <c r="B174" s="654" t="s">
        <v>1079</v>
      </c>
      <c r="C174" s="625" t="s">
        <v>167</v>
      </c>
      <c r="D174" s="655">
        <v>2</v>
      </c>
      <c r="E174" s="622">
        <v>8763.7000000000007</v>
      </c>
      <c r="F174" s="621">
        <v>8.8223109611139849E-4</v>
      </c>
      <c r="H174" s="401">
        <f t="shared" si="2"/>
        <v>0.91394675688171634</v>
      </c>
    </row>
    <row r="175" spans="1:8" s="227" customFormat="1" ht="30">
      <c r="A175" s="626" t="s">
        <v>497</v>
      </c>
      <c r="B175" s="654" t="s">
        <v>499</v>
      </c>
      <c r="C175" s="625" t="s">
        <v>167</v>
      </c>
      <c r="D175" s="655">
        <v>4</v>
      </c>
      <c r="E175" s="622">
        <v>8612.18</v>
      </c>
      <c r="F175" s="621">
        <v>8.6697776068426157E-4</v>
      </c>
      <c r="H175" s="401">
        <f t="shared" si="2"/>
        <v>0.91481373464240057</v>
      </c>
    </row>
    <row r="176" spans="1:8" s="227" customFormat="1">
      <c r="A176" s="665" t="s">
        <v>250</v>
      </c>
      <c r="B176" s="669" t="s">
        <v>252</v>
      </c>
      <c r="C176" s="665" t="s">
        <v>253</v>
      </c>
      <c r="D176" s="665">
        <v>20</v>
      </c>
      <c r="E176" s="622">
        <v>8534.7800000000007</v>
      </c>
      <c r="F176" s="621">
        <v>8.5918599615112811E-4</v>
      </c>
      <c r="H176" s="401">
        <f t="shared" si="2"/>
        <v>0.91567292063855166</v>
      </c>
    </row>
    <row r="177" spans="1:8" s="227" customFormat="1">
      <c r="A177" s="626" t="s">
        <v>2597</v>
      </c>
      <c r="B177" s="654" t="s">
        <v>2567</v>
      </c>
      <c r="C177" s="625" t="s">
        <v>167</v>
      </c>
      <c r="D177" s="655">
        <v>159</v>
      </c>
      <c r="E177" s="622">
        <v>8481.68</v>
      </c>
      <c r="F177" s="621">
        <v>8.538404832737457E-4</v>
      </c>
      <c r="H177" s="401">
        <f t="shared" si="2"/>
        <v>0.91652676112182541</v>
      </c>
    </row>
    <row r="178" spans="1:8" s="227" customFormat="1">
      <c r="A178" s="626" t="s">
        <v>512</v>
      </c>
      <c r="B178" s="654" t="s">
        <v>514</v>
      </c>
      <c r="C178" s="625" t="s">
        <v>167</v>
      </c>
      <c r="D178" s="655">
        <v>3</v>
      </c>
      <c r="E178" s="622">
        <v>8464.42</v>
      </c>
      <c r="F178" s="621">
        <v>8.5210293991661544E-4</v>
      </c>
      <c r="H178" s="401">
        <f t="shared" si="2"/>
        <v>0.91737886406174207</v>
      </c>
    </row>
    <row r="179" spans="1:8" s="227" customFormat="1" ht="120">
      <c r="A179" s="626" t="s">
        <v>1154</v>
      </c>
      <c r="B179" s="654" t="s">
        <v>3005</v>
      </c>
      <c r="C179" s="625" t="s">
        <v>167</v>
      </c>
      <c r="D179" s="655">
        <v>1</v>
      </c>
      <c r="E179" s="622">
        <v>8350.44</v>
      </c>
      <c r="F179" s="621">
        <v>8.4062871095684087E-4</v>
      </c>
      <c r="H179" s="401">
        <f t="shared" si="2"/>
        <v>0.91821949277269888</v>
      </c>
    </row>
    <row r="180" spans="1:8" s="227" customFormat="1" ht="14.45" customHeight="1">
      <c r="A180" s="666" t="s">
        <v>1136</v>
      </c>
      <c r="B180" s="668" t="s">
        <v>2999</v>
      </c>
      <c r="C180" s="665" t="s">
        <v>167</v>
      </c>
      <c r="D180" s="672">
        <v>1</v>
      </c>
      <c r="E180" s="622">
        <v>8170.51</v>
      </c>
      <c r="F180" s="621">
        <v>8.2251537513711582E-4</v>
      </c>
      <c r="H180" s="401">
        <f t="shared" si="2"/>
        <v>0.91904200814783599</v>
      </c>
    </row>
    <row r="181" spans="1:8" s="227" customFormat="1">
      <c r="A181" s="667" t="s">
        <v>2852</v>
      </c>
      <c r="B181" s="670" t="s">
        <v>2840</v>
      </c>
      <c r="C181" s="665" t="s">
        <v>2270</v>
      </c>
      <c r="D181" s="665">
        <v>3</v>
      </c>
      <c r="E181" s="622">
        <v>8098.83</v>
      </c>
      <c r="F181" s="621">
        <v>8.1529943609661175E-4</v>
      </c>
      <c r="H181" s="401">
        <f t="shared" si="2"/>
        <v>0.91985730758393258</v>
      </c>
    </row>
    <row r="182" spans="1:8" s="227" customFormat="1">
      <c r="A182" s="626" t="s">
        <v>847</v>
      </c>
      <c r="B182" s="654" t="s">
        <v>848</v>
      </c>
      <c r="C182" s="625" t="s">
        <v>180</v>
      </c>
      <c r="D182" s="655">
        <v>254</v>
      </c>
      <c r="E182" s="622">
        <v>8047.59</v>
      </c>
      <c r="F182" s="621">
        <v>8.1014116717312648E-4</v>
      </c>
      <c r="H182" s="401">
        <f t="shared" si="2"/>
        <v>0.92066744875110573</v>
      </c>
    </row>
    <row r="183" spans="1:8" s="227" customFormat="1">
      <c r="A183" s="626" t="s">
        <v>318</v>
      </c>
      <c r="B183" s="654" t="s">
        <v>319</v>
      </c>
      <c r="C183" s="625" t="s">
        <v>253</v>
      </c>
      <c r="D183" s="655">
        <v>7.8</v>
      </c>
      <c r="E183" s="622">
        <v>7924.65</v>
      </c>
      <c r="F183" s="621">
        <v>7.9776494583328882E-4</v>
      </c>
      <c r="H183" s="401">
        <f t="shared" si="2"/>
        <v>0.92146521369693901</v>
      </c>
    </row>
    <row r="184" spans="1:8" s="227" customFormat="1">
      <c r="A184" s="626" t="s">
        <v>184</v>
      </c>
      <c r="B184" s="654" t="s">
        <v>185</v>
      </c>
      <c r="C184" s="625" t="s">
        <v>167</v>
      </c>
      <c r="D184" s="655">
        <v>149</v>
      </c>
      <c r="E184" s="622">
        <v>7901.98</v>
      </c>
      <c r="F184" s="621">
        <v>7.954827843091785E-4</v>
      </c>
      <c r="H184" s="401">
        <f t="shared" si="2"/>
        <v>0.9222606964812482</v>
      </c>
    </row>
    <row r="185" spans="1:8" s="227" customFormat="1">
      <c r="A185" s="664" t="s">
        <v>990</v>
      </c>
      <c r="B185" s="668" t="s">
        <v>992</v>
      </c>
      <c r="C185" s="665" t="s">
        <v>180</v>
      </c>
      <c r="D185" s="665">
        <v>104.5</v>
      </c>
      <c r="E185" s="622">
        <v>7518.68</v>
      </c>
      <c r="F185" s="621">
        <v>7.568964361754566E-4</v>
      </c>
      <c r="H185" s="401">
        <f t="shared" si="2"/>
        <v>0.92301759291742369</v>
      </c>
    </row>
    <row r="186" spans="1:8" s="227" customFormat="1">
      <c r="A186" s="626" t="s">
        <v>680</v>
      </c>
      <c r="B186" s="654" t="s">
        <v>682</v>
      </c>
      <c r="C186" s="625" t="s">
        <v>167</v>
      </c>
      <c r="D186" s="655">
        <v>4</v>
      </c>
      <c r="E186" s="622">
        <v>7517.48</v>
      </c>
      <c r="F186" s="621">
        <v>7.5677563362455528E-4</v>
      </c>
      <c r="H186" s="401">
        <f t="shared" si="2"/>
        <v>0.92377436855104822</v>
      </c>
    </row>
    <row r="187" spans="1:8" s="227" customFormat="1">
      <c r="A187" s="626" t="s">
        <v>864</v>
      </c>
      <c r="B187" s="654" t="s">
        <v>865</v>
      </c>
      <c r="C187" s="625" t="s">
        <v>167</v>
      </c>
      <c r="D187" s="655">
        <v>162</v>
      </c>
      <c r="E187" s="622">
        <v>7422.42</v>
      </c>
      <c r="F187" s="621">
        <v>7.4720605821732434E-4</v>
      </c>
      <c r="H187" s="401">
        <f t="shared" si="2"/>
        <v>0.92452157460926554</v>
      </c>
    </row>
    <row r="188" spans="1:8" s="227" customFormat="1">
      <c r="A188" s="665" t="s">
        <v>159</v>
      </c>
      <c r="B188" s="669" t="s">
        <v>162</v>
      </c>
      <c r="C188" s="665" t="s">
        <v>163</v>
      </c>
      <c r="D188" s="665">
        <v>137</v>
      </c>
      <c r="E188" s="622">
        <v>7322.69</v>
      </c>
      <c r="F188" s="621">
        <v>7.3716635954950251E-4</v>
      </c>
      <c r="H188" s="401">
        <f t="shared" si="2"/>
        <v>0.925258740968815</v>
      </c>
    </row>
    <row r="189" spans="1:8" s="227" customFormat="1" ht="102">
      <c r="A189" s="664" t="s">
        <v>3007</v>
      </c>
      <c r="B189" s="668" t="s">
        <v>3008</v>
      </c>
      <c r="C189" s="665" t="s">
        <v>167</v>
      </c>
      <c r="D189" s="665">
        <v>1</v>
      </c>
      <c r="E189" s="622">
        <v>7315.62</v>
      </c>
      <c r="F189" s="621">
        <v>7.3645463118710908E-4</v>
      </c>
      <c r="H189" s="401">
        <f t="shared" si="2"/>
        <v>0.9259951956000021</v>
      </c>
    </row>
    <row r="190" spans="1:8" s="227" customFormat="1" ht="105">
      <c r="A190" s="626" t="s">
        <v>3027</v>
      </c>
      <c r="B190" s="654" t="s">
        <v>3028</v>
      </c>
      <c r="C190" s="625" t="s">
        <v>167</v>
      </c>
      <c r="D190" s="655">
        <v>1</v>
      </c>
      <c r="E190" s="622">
        <v>7178.38</v>
      </c>
      <c r="F190" s="621">
        <v>7.2263884611569774E-4</v>
      </c>
      <c r="H190" s="401">
        <f t="shared" si="2"/>
        <v>0.92671783444611777</v>
      </c>
    </row>
    <row r="191" spans="1:8" s="227" customFormat="1" ht="120">
      <c r="A191" s="626" t="s">
        <v>3031</v>
      </c>
      <c r="B191" s="654" t="s">
        <v>3032</v>
      </c>
      <c r="C191" s="625" t="s">
        <v>167</v>
      </c>
      <c r="D191" s="655">
        <v>1</v>
      </c>
      <c r="E191" s="622">
        <v>7178.38</v>
      </c>
      <c r="F191" s="621">
        <v>7.2263884611569774E-4</v>
      </c>
      <c r="H191" s="401">
        <f t="shared" si="2"/>
        <v>0.92744047329223345</v>
      </c>
    </row>
    <row r="192" spans="1:8" s="227" customFormat="1" ht="30">
      <c r="A192" s="626" t="s">
        <v>521</v>
      </c>
      <c r="B192" s="654" t="s">
        <v>523</v>
      </c>
      <c r="C192" s="625" t="s">
        <v>167</v>
      </c>
      <c r="D192" s="655">
        <v>3</v>
      </c>
      <c r="E192" s="622">
        <v>7102.41</v>
      </c>
      <c r="F192" s="621">
        <v>7.1499103795572157E-4</v>
      </c>
      <c r="H192" s="401">
        <f t="shared" si="2"/>
        <v>0.92815546433018914</v>
      </c>
    </row>
    <row r="193" spans="1:8" s="227" customFormat="1">
      <c r="A193" s="626" t="s">
        <v>382</v>
      </c>
      <c r="B193" s="654" t="s">
        <v>383</v>
      </c>
      <c r="C193" s="625" t="s">
        <v>137</v>
      </c>
      <c r="D193" s="655">
        <v>44</v>
      </c>
      <c r="E193" s="622">
        <v>7012.43</v>
      </c>
      <c r="F193" s="621">
        <v>7.0593286001397284E-4</v>
      </c>
      <c r="H193" s="401">
        <f t="shared" si="2"/>
        <v>0.92886139719020311</v>
      </c>
    </row>
    <row r="194" spans="1:8" s="227" customFormat="1">
      <c r="A194" s="626" t="s">
        <v>785</v>
      </c>
      <c r="B194" s="654" t="s">
        <v>787</v>
      </c>
      <c r="C194" s="625" t="s">
        <v>167</v>
      </c>
      <c r="D194" s="655">
        <v>1</v>
      </c>
      <c r="E194" s="622">
        <v>7000.5</v>
      </c>
      <c r="F194" s="621">
        <v>7.0473188132042907E-4</v>
      </c>
      <c r="H194" s="401">
        <f t="shared" si="2"/>
        <v>0.92956612907152358</v>
      </c>
    </row>
    <row r="195" spans="1:8" s="227" customFormat="1" ht="30">
      <c r="A195" s="626" t="s">
        <v>527</v>
      </c>
      <c r="B195" s="654" t="s">
        <v>529</v>
      </c>
      <c r="C195" s="625" t="s">
        <v>167</v>
      </c>
      <c r="D195" s="655">
        <v>4</v>
      </c>
      <c r="E195" s="622">
        <v>6868.57</v>
      </c>
      <c r="F195" s="621">
        <v>6.9145064753675591E-4</v>
      </c>
      <c r="H195" s="401">
        <f t="shared" si="2"/>
        <v>0.93025757971906031</v>
      </c>
    </row>
    <row r="196" spans="1:8" s="227" customFormat="1" ht="30">
      <c r="A196" s="626" t="s">
        <v>311</v>
      </c>
      <c r="B196" s="654" t="s">
        <v>313</v>
      </c>
      <c r="C196" s="625" t="s">
        <v>314</v>
      </c>
      <c r="D196" s="655">
        <v>360</v>
      </c>
      <c r="E196" s="622">
        <v>6706.8</v>
      </c>
      <c r="F196" s="621">
        <v>6.7516545698733722E-4</v>
      </c>
      <c r="H196" s="401">
        <f t="shared" si="2"/>
        <v>0.93093274517604763</v>
      </c>
    </row>
    <row r="197" spans="1:8" s="227" customFormat="1" ht="30">
      <c r="A197" s="626" t="s">
        <v>2899</v>
      </c>
      <c r="B197" s="654" t="s">
        <v>2876</v>
      </c>
      <c r="C197" s="625" t="s">
        <v>2184</v>
      </c>
      <c r="D197" s="655">
        <v>17.5</v>
      </c>
      <c r="E197" s="622">
        <v>6691.19</v>
      </c>
      <c r="F197" s="621">
        <v>6.7359401713769612E-4</v>
      </c>
      <c r="H197" s="401">
        <f t="shared" si="2"/>
        <v>0.93160633919318536</v>
      </c>
    </row>
    <row r="198" spans="1:8" s="227" customFormat="1">
      <c r="A198" s="626" t="s">
        <v>509</v>
      </c>
      <c r="B198" s="654" t="s">
        <v>511</v>
      </c>
      <c r="C198" s="625" t="s">
        <v>167</v>
      </c>
      <c r="D198" s="655">
        <v>2</v>
      </c>
      <c r="E198" s="622">
        <v>6605.78</v>
      </c>
      <c r="F198" s="621">
        <v>6.649958955772965E-4</v>
      </c>
      <c r="H198" s="401">
        <f t="shared" si="2"/>
        <v>0.9322713350887627</v>
      </c>
    </row>
    <row r="199" spans="1:8" s="227" customFormat="1">
      <c r="A199" s="626" t="s">
        <v>968</v>
      </c>
      <c r="B199" s="654" t="s">
        <v>970</v>
      </c>
      <c r="C199" s="625" t="s">
        <v>167</v>
      </c>
      <c r="D199" s="655">
        <v>1</v>
      </c>
      <c r="E199" s="622">
        <v>6515.35</v>
      </c>
      <c r="F199" s="621">
        <v>6.5589241667895972E-4</v>
      </c>
      <c r="H199" s="401">
        <f t="shared" si="2"/>
        <v>0.93292722750544166</v>
      </c>
    </row>
    <row r="200" spans="1:8" s="227" customFormat="1" ht="14.45" customHeight="1">
      <c r="A200" s="28" t="s">
        <v>843</v>
      </c>
      <c r="B200" s="193" t="s">
        <v>844</v>
      </c>
      <c r="C200" s="194" t="s">
        <v>180</v>
      </c>
      <c r="D200" s="195">
        <v>400</v>
      </c>
      <c r="E200" s="192">
        <v>6493.18</v>
      </c>
      <c r="F200" s="250">
        <v>6.5366058955105839E-4</v>
      </c>
      <c r="H200" s="401">
        <f t="shared" si="2"/>
        <v>0.93358088809499273</v>
      </c>
    </row>
    <row r="201" spans="1:8" s="227" customFormat="1" ht="45">
      <c r="A201" s="28" t="s">
        <v>1189</v>
      </c>
      <c r="B201" s="193" t="s">
        <v>1191</v>
      </c>
      <c r="C201" s="599" t="s">
        <v>180</v>
      </c>
      <c r="D201" s="195">
        <v>70.2</v>
      </c>
      <c r="E201" s="192">
        <v>6452.96</v>
      </c>
      <c r="F201" s="250">
        <v>6.4961169072001658E-4</v>
      </c>
      <c r="H201" s="401">
        <f t="shared" si="2"/>
        <v>0.93423049978571271</v>
      </c>
    </row>
    <row r="202" spans="1:8" s="227" customFormat="1">
      <c r="A202" s="28" t="s">
        <v>280</v>
      </c>
      <c r="B202" s="193" t="s">
        <v>281</v>
      </c>
      <c r="C202" s="194" t="s">
        <v>180</v>
      </c>
      <c r="D202" s="195">
        <v>17</v>
      </c>
      <c r="E202" s="192">
        <v>6380.49</v>
      </c>
      <c r="F202" s="250">
        <v>6.423162233335025E-4</v>
      </c>
      <c r="H202" s="401">
        <f t="shared" si="2"/>
        <v>0.93487281600904626</v>
      </c>
    </row>
    <row r="203" spans="1:8" s="227" customFormat="1" ht="45">
      <c r="A203" s="28" t="s">
        <v>714</v>
      </c>
      <c r="B203" s="193" t="s">
        <v>716</v>
      </c>
      <c r="C203" s="194" t="s">
        <v>163</v>
      </c>
      <c r="D203" s="195">
        <v>1</v>
      </c>
      <c r="E203" s="192">
        <v>6366.55</v>
      </c>
      <c r="F203" s="250">
        <v>6.4091290036719919E-4</v>
      </c>
      <c r="H203" s="401">
        <f t="shared" si="2"/>
        <v>0.93551372890941342</v>
      </c>
    </row>
    <row r="204" spans="1:8" s="227" customFormat="1" ht="120">
      <c r="A204" s="28" t="s">
        <v>3023</v>
      </c>
      <c r="B204" s="193" t="s">
        <v>3024</v>
      </c>
      <c r="C204" s="194" t="s">
        <v>167</v>
      </c>
      <c r="D204" s="195">
        <v>1</v>
      </c>
      <c r="E204" s="192">
        <v>6362.66</v>
      </c>
      <c r="F204" s="250">
        <v>6.405212987646941E-4</v>
      </c>
      <c r="H204" s="401">
        <f t="shared" si="2"/>
        <v>0.93615425020817811</v>
      </c>
    </row>
    <row r="205" spans="1:8" s="227" customFormat="1">
      <c r="A205" s="28" t="s">
        <v>2961</v>
      </c>
      <c r="B205" s="193" t="s">
        <v>2955</v>
      </c>
      <c r="C205" s="194" t="s">
        <v>2956</v>
      </c>
      <c r="D205" s="195">
        <v>65</v>
      </c>
      <c r="E205" s="192">
        <v>6336.5</v>
      </c>
      <c r="F205" s="250">
        <v>6.378878031550459E-4</v>
      </c>
      <c r="H205" s="401">
        <f t="shared" si="2"/>
        <v>0.9367921380113331</v>
      </c>
    </row>
    <row r="206" spans="1:8" s="227" customFormat="1" ht="14.45" customHeight="1">
      <c r="A206" s="589" t="s">
        <v>2606</v>
      </c>
      <c r="B206" s="593" t="s">
        <v>2585</v>
      </c>
      <c r="C206" s="600" t="s">
        <v>167</v>
      </c>
      <c r="D206" s="600">
        <v>24</v>
      </c>
      <c r="E206" s="192">
        <v>6258.49</v>
      </c>
      <c r="F206" s="250">
        <v>6.3003463065853756E-4</v>
      </c>
      <c r="H206" s="401">
        <f t="shared" si="2"/>
        <v>0.93742217264199168</v>
      </c>
    </row>
    <row r="207" spans="1:8" s="227" customFormat="1" ht="30">
      <c r="A207" s="28" t="s">
        <v>491</v>
      </c>
      <c r="B207" s="193" t="s">
        <v>493</v>
      </c>
      <c r="C207" s="194" t="s">
        <v>167</v>
      </c>
      <c r="D207" s="195">
        <v>2</v>
      </c>
      <c r="E207" s="192">
        <v>6140.96</v>
      </c>
      <c r="F207" s="250">
        <v>6.1820302748567986E-4</v>
      </c>
      <c r="H207" s="401">
        <f t="shared" si="2"/>
        <v>0.9380403756694774</v>
      </c>
    </row>
    <row r="208" spans="1:8" s="227" customFormat="1" ht="30">
      <c r="A208" s="28" t="s">
        <v>518</v>
      </c>
      <c r="B208" s="193" t="s">
        <v>520</v>
      </c>
      <c r="C208" s="194" t="s">
        <v>167</v>
      </c>
      <c r="D208" s="195">
        <v>2</v>
      </c>
      <c r="E208" s="192">
        <v>6099.64</v>
      </c>
      <c r="F208" s="250">
        <v>6.1404339298297872E-4</v>
      </c>
      <c r="H208" s="401">
        <f t="shared" si="2"/>
        <v>0.93865441906246039</v>
      </c>
    </row>
    <row r="209" spans="1:8" s="227" customFormat="1" ht="30">
      <c r="A209" s="28" t="s">
        <v>427</v>
      </c>
      <c r="B209" s="193" t="s">
        <v>429</v>
      </c>
      <c r="C209" s="194" t="s">
        <v>167</v>
      </c>
      <c r="D209" s="195">
        <v>28</v>
      </c>
      <c r="E209" s="192">
        <v>6049.02</v>
      </c>
      <c r="F209" s="250">
        <v>6.0894753871079243E-4</v>
      </c>
      <c r="H209" s="401">
        <f t="shared" si="2"/>
        <v>0.93926336660117116</v>
      </c>
    </row>
    <row r="210" spans="1:8" s="227" customFormat="1" ht="30">
      <c r="A210" s="28" t="s">
        <v>338</v>
      </c>
      <c r="B210" s="193" t="s">
        <v>340</v>
      </c>
      <c r="C210" s="194" t="s">
        <v>180</v>
      </c>
      <c r="D210" s="195">
        <v>73.56</v>
      </c>
      <c r="E210" s="192">
        <v>6002.45</v>
      </c>
      <c r="F210" s="250">
        <v>6.0425939304789794E-4</v>
      </c>
      <c r="H210" s="401">
        <f t="shared" si="2"/>
        <v>0.93986762599421902</v>
      </c>
    </row>
    <row r="211" spans="1:8" s="227" customFormat="1" ht="30">
      <c r="A211" s="28" t="s">
        <v>539</v>
      </c>
      <c r="B211" s="193" t="s">
        <v>541</v>
      </c>
      <c r="C211" s="194" t="s">
        <v>167</v>
      </c>
      <c r="D211" s="195">
        <v>8</v>
      </c>
      <c r="E211" s="192">
        <v>5933.48</v>
      </c>
      <c r="F211" s="250">
        <v>5.9731626643484595E-4</v>
      </c>
      <c r="H211" s="401">
        <f t="shared" si="2"/>
        <v>0.94046494226065391</v>
      </c>
    </row>
    <row r="212" spans="1:8" s="227" customFormat="1" ht="30">
      <c r="A212" s="28" t="s">
        <v>1097</v>
      </c>
      <c r="B212" s="193" t="s">
        <v>1099</v>
      </c>
      <c r="C212" s="194" t="s">
        <v>167</v>
      </c>
      <c r="D212" s="195">
        <v>103</v>
      </c>
      <c r="E212" s="192">
        <v>5677.23</v>
      </c>
      <c r="F212" s="250">
        <v>5.7151988837779867E-4</v>
      </c>
      <c r="H212" s="401">
        <f t="shared" si="2"/>
        <v>0.94103646214903169</v>
      </c>
    </row>
    <row r="213" spans="1:8" s="227" customFormat="1">
      <c r="A213" s="588" t="s">
        <v>909</v>
      </c>
      <c r="B213" s="505" t="s">
        <v>910</v>
      </c>
      <c r="C213" s="504" t="s">
        <v>180</v>
      </c>
      <c r="D213" s="504">
        <v>178</v>
      </c>
      <c r="E213" s="192">
        <v>5650.7</v>
      </c>
      <c r="F213" s="250">
        <v>5.6884914531495588E-4</v>
      </c>
      <c r="H213" s="401">
        <f t="shared" si="2"/>
        <v>0.94160531129434666</v>
      </c>
    </row>
    <row r="214" spans="1:8" s="227" customFormat="1">
      <c r="A214" s="588" t="s">
        <v>1240</v>
      </c>
      <c r="B214" s="505" t="s">
        <v>233</v>
      </c>
      <c r="C214" s="504" t="s">
        <v>167</v>
      </c>
      <c r="D214" s="504">
        <v>133</v>
      </c>
      <c r="E214" s="192">
        <v>5584.94</v>
      </c>
      <c r="F214" s="250">
        <v>5.6222916552556485E-4</v>
      </c>
      <c r="H214" s="401">
        <f t="shared" si="2"/>
        <v>0.94216754045987228</v>
      </c>
    </row>
    <row r="215" spans="1:8" s="227" customFormat="1">
      <c r="A215" s="588" t="s">
        <v>2936</v>
      </c>
      <c r="B215" s="594" t="s">
        <v>2917</v>
      </c>
      <c r="C215" s="504" t="s">
        <v>1932</v>
      </c>
      <c r="D215" s="504">
        <v>3</v>
      </c>
      <c r="E215" s="192">
        <v>5491.38</v>
      </c>
      <c r="F215" s="250">
        <v>5.5281059330696068E-4</v>
      </c>
      <c r="H215" s="401">
        <f t="shared" si="2"/>
        <v>0.9427203510531792</v>
      </c>
    </row>
    <row r="216" spans="1:8" s="227" customFormat="1">
      <c r="A216" s="28" t="s">
        <v>2547</v>
      </c>
      <c r="B216" s="193" t="s">
        <v>2540</v>
      </c>
      <c r="C216" s="194" t="s">
        <v>167</v>
      </c>
      <c r="D216" s="195">
        <v>91</v>
      </c>
      <c r="E216" s="192">
        <v>5463.48</v>
      </c>
      <c r="F216" s="250">
        <v>5.5000193399850543E-4</v>
      </c>
      <c r="H216" s="401">
        <f t="shared" si="2"/>
        <v>0.94327035298717765</v>
      </c>
    </row>
    <row r="217" spans="1:8" s="227" customFormat="1">
      <c r="A217" s="28" t="s">
        <v>439</v>
      </c>
      <c r="B217" s="193" t="s">
        <v>441</v>
      </c>
      <c r="C217" s="194" t="s">
        <v>167</v>
      </c>
      <c r="D217" s="195">
        <v>56</v>
      </c>
      <c r="E217" s="192">
        <v>5396.8</v>
      </c>
      <c r="F217" s="250">
        <v>5.432893389200902E-4</v>
      </c>
      <c r="H217" s="401">
        <f t="shared" si="2"/>
        <v>0.94381364232609777</v>
      </c>
    </row>
    <row r="218" spans="1:8" s="227" customFormat="1">
      <c r="A218" s="28" t="s">
        <v>2751</v>
      </c>
      <c r="B218" s="193" t="s">
        <v>2685</v>
      </c>
      <c r="C218" s="194" t="s">
        <v>150</v>
      </c>
      <c r="D218" s="195">
        <v>25</v>
      </c>
      <c r="E218" s="192">
        <v>5310.48</v>
      </c>
      <c r="F218" s="250">
        <v>5.3459960875859038E-4</v>
      </c>
      <c r="H218" s="401">
        <f t="shared" si="2"/>
        <v>0.94434824193485634</v>
      </c>
    </row>
    <row r="219" spans="1:8" s="227" customFormat="1">
      <c r="A219" s="588" t="s">
        <v>2654</v>
      </c>
      <c r="B219" s="505" t="s">
        <v>2632</v>
      </c>
      <c r="C219" s="504" t="s">
        <v>167</v>
      </c>
      <c r="D219" s="504">
        <v>120</v>
      </c>
      <c r="E219" s="192">
        <v>5308.8</v>
      </c>
      <c r="F219" s="250">
        <v>5.3443048518732859E-4</v>
      </c>
      <c r="H219" s="401">
        <f t="shared" si="2"/>
        <v>0.94488267242004365</v>
      </c>
    </row>
    <row r="220" spans="1:8" s="227" customFormat="1">
      <c r="A220" s="28" t="s">
        <v>1898</v>
      </c>
      <c r="B220" s="193" t="s">
        <v>2615</v>
      </c>
      <c r="C220" s="194" t="s">
        <v>167</v>
      </c>
      <c r="D220" s="195">
        <v>272</v>
      </c>
      <c r="E220" s="192">
        <v>5270.05</v>
      </c>
      <c r="F220" s="250">
        <v>5.3052956948114102E-4</v>
      </c>
      <c r="H220" s="401">
        <f t="shared" si="2"/>
        <v>0.94541320198952483</v>
      </c>
    </row>
    <row r="221" spans="1:8" s="227" customFormat="1">
      <c r="A221" s="28" t="s">
        <v>1226</v>
      </c>
      <c r="B221" s="193" t="s">
        <v>1228</v>
      </c>
      <c r="C221" s="194" t="s">
        <v>180</v>
      </c>
      <c r="D221" s="195">
        <v>456.55</v>
      </c>
      <c r="E221" s="192">
        <v>5262.09</v>
      </c>
      <c r="F221" s="250">
        <v>5.297282458934957E-4</v>
      </c>
      <c r="H221" s="401">
        <f t="shared" si="2"/>
        <v>0.94594293023541831</v>
      </c>
    </row>
    <row r="222" spans="1:8" s="227" customFormat="1">
      <c r="A222" s="28" t="s">
        <v>286</v>
      </c>
      <c r="B222" s="193" t="s">
        <v>287</v>
      </c>
      <c r="C222" s="194" t="s">
        <v>167</v>
      </c>
      <c r="D222" s="195">
        <v>14</v>
      </c>
      <c r="E222" s="192">
        <v>5191.88</v>
      </c>
      <c r="F222" s="250">
        <v>5.2266028997784576E-4</v>
      </c>
      <c r="H222" s="401">
        <f t="shared" si="2"/>
        <v>0.94646559052539614</v>
      </c>
    </row>
    <row r="223" spans="1:8" s="227" customFormat="1" ht="30">
      <c r="A223" s="28" t="s">
        <v>267</v>
      </c>
      <c r="B223" s="193" t="s">
        <v>268</v>
      </c>
      <c r="C223" s="194" t="s">
        <v>180</v>
      </c>
      <c r="D223" s="195">
        <v>30</v>
      </c>
      <c r="E223" s="192">
        <v>5159.76</v>
      </c>
      <c r="F223" s="250">
        <v>5.1942680836538778E-4</v>
      </c>
      <c r="H223" s="401">
        <f t="shared" si="2"/>
        <v>0.9469850173337615</v>
      </c>
    </row>
    <row r="224" spans="1:8" s="227" customFormat="1" ht="30">
      <c r="A224" s="28" t="s">
        <v>542</v>
      </c>
      <c r="B224" s="193" t="s">
        <v>544</v>
      </c>
      <c r="C224" s="194" t="s">
        <v>167</v>
      </c>
      <c r="D224" s="195">
        <v>9</v>
      </c>
      <c r="E224" s="192">
        <v>5109.72</v>
      </c>
      <c r="F224" s="250">
        <v>5.1438934199280384E-4</v>
      </c>
      <c r="H224" s="401">
        <f t="shared" si="2"/>
        <v>0.94749940667575427</v>
      </c>
    </row>
    <row r="225" spans="1:8" s="227" customFormat="1">
      <c r="A225" s="28" t="s">
        <v>868</v>
      </c>
      <c r="B225" s="193" t="s">
        <v>869</v>
      </c>
      <c r="C225" s="194" t="s">
        <v>167</v>
      </c>
      <c r="D225" s="195">
        <v>175</v>
      </c>
      <c r="E225" s="192">
        <v>5042.5200000000004</v>
      </c>
      <c r="F225" s="250">
        <v>5.0762439914233131E-4</v>
      </c>
      <c r="H225" s="401">
        <f t="shared" si="2"/>
        <v>0.94800703107489659</v>
      </c>
    </row>
    <row r="226" spans="1:8" s="227" customFormat="1" ht="14.45" customHeight="1">
      <c r="A226" s="587" t="s">
        <v>845</v>
      </c>
      <c r="B226" s="593" t="s">
        <v>846</v>
      </c>
      <c r="C226" s="504" t="s">
        <v>180</v>
      </c>
      <c r="D226" s="504">
        <v>231</v>
      </c>
      <c r="E226" s="192">
        <v>4974.88</v>
      </c>
      <c r="F226" s="250">
        <v>5.0081516202319493E-4</v>
      </c>
      <c r="H226" s="401">
        <f t="shared" si="2"/>
        <v>0.94850784623691975</v>
      </c>
    </row>
    <row r="227" spans="1:8" s="227" customFormat="1">
      <c r="A227" s="28" t="s">
        <v>854</v>
      </c>
      <c r="B227" s="193" t="s">
        <v>856</v>
      </c>
      <c r="C227" s="599" t="s">
        <v>180</v>
      </c>
      <c r="D227" s="195">
        <v>35</v>
      </c>
      <c r="E227" s="192">
        <v>4943.41</v>
      </c>
      <c r="F227" s="250">
        <v>4.9764711512580845E-4</v>
      </c>
      <c r="H227" s="401">
        <f t="shared" si="2"/>
        <v>0.94900549335204554</v>
      </c>
    </row>
    <row r="228" spans="1:8" s="227" customFormat="1" ht="30">
      <c r="A228" s="28" t="s">
        <v>332</v>
      </c>
      <c r="B228" s="193" t="s">
        <v>334</v>
      </c>
      <c r="C228" s="194" t="s">
        <v>180</v>
      </c>
      <c r="D228" s="195">
        <v>300</v>
      </c>
      <c r="E228" s="192">
        <v>4869.88</v>
      </c>
      <c r="F228" s="250">
        <v>4.9024493881933166E-4</v>
      </c>
      <c r="H228" s="401">
        <f t="shared" si="2"/>
        <v>0.94949573829086487</v>
      </c>
    </row>
    <row r="229" spans="1:8" s="227" customFormat="1" ht="30">
      <c r="A229" s="28" t="s">
        <v>548</v>
      </c>
      <c r="B229" s="193" t="s">
        <v>550</v>
      </c>
      <c r="C229" s="194" t="s">
        <v>167</v>
      </c>
      <c r="D229" s="195">
        <v>5</v>
      </c>
      <c r="E229" s="192">
        <v>4853.55</v>
      </c>
      <c r="F229" s="250">
        <v>4.8860101743914992E-4</v>
      </c>
      <c r="H229" s="401">
        <f t="shared" si="2"/>
        <v>0.94998433930830406</v>
      </c>
    </row>
    <row r="230" spans="1:8" s="227" customFormat="1">
      <c r="A230" s="28" t="s">
        <v>256</v>
      </c>
      <c r="B230" s="193" t="s">
        <v>258</v>
      </c>
      <c r="C230" s="194" t="s">
        <v>253</v>
      </c>
      <c r="D230" s="195">
        <v>80</v>
      </c>
      <c r="E230" s="192">
        <v>4834.8599999999997</v>
      </c>
      <c r="F230" s="250">
        <v>4.8671951770886215E-4</v>
      </c>
      <c r="H230" s="401">
        <f t="shared" si="2"/>
        <v>0.9504710588260129</v>
      </c>
    </row>
    <row r="231" spans="1:8" s="227" customFormat="1">
      <c r="A231" s="28" t="s">
        <v>2682</v>
      </c>
      <c r="B231" s="193" t="s">
        <v>2676</v>
      </c>
      <c r="C231" s="194" t="s">
        <v>167</v>
      </c>
      <c r="D231" s="195">
        <v>31</v>
      </c>
      <c r="E231" s="192">
        <v>4708.41</v>
      </c>
      <c r="F231" s="250">
        <v>4.7398994890763825E-4</v>
      </c>
      <c r="H231" s="401">
        <f t="shared" si="2"/>
        <v>0.95094504877492059</v>
      </c>
    </row>
    <row r="232" spans="1:8" s="227" customFormat="1">
      <c r="A232" s="28" t="s">
        <v>261</v>
      </c>
      <c r="B232" s="193" t="s">
        <v>262</v>
      </c>
      <c r="C232" s="194" t="s">
        <v>137</v>
      </c>
      <c r="D232" s="195">
        <v>16</v>
      </c>
      <c r="E232" s="192">
        <v>4646.47</v>
      </c>
      <c r="F232" s="250">
        <v>4.6775452390528311E-4</v>
      </c>
      <c r="H232" s="401">
        <f t="shared" si="2"/>
        <v>0.95141280329882583</v>
      </c>
    </row>
    <row r="233" spans="1:8" s="227" customFormat="1">
      <c r="A233" s="28" t="s">
        <v>225</v>
      </c>
      <c r="B233" s="193" t="s">
        <v>227</v>
      </c>
      <c r="C233" s="194" t="s">
        <v>167</v>
      </c>
      <c r="D233" s="195">
        <v>117</v>
      </c>
      <c r="E233" s="192">
        <v>4634.0600000000004</v>
      </c>
      <c r="F233" s="250">
        <v>4.6650522419137887E-4</v>
      </c>
      <c r="H233" s="401">
        <f t="shared" si="2"/>
        <v>0.95187930852301716</v>
      </c>
    </row>
    <row r="234" spans="1:8" s="227" customFormat="1" ht="45">
      <c r="A234" s="28" t="s">
        <v>717</v>
      </c>
      <c r="B234" s="193" t="s">
        <v>719</v>
      </c>
      <c r="C234" s="194" t="s">
        <v>163</v>
      </c>
      <c r="D234" s="195">
        <v>1</v>
      </c>
      <c r="E234" s="192">
        <v>4489.3</v>
      </c>
      <c r="F234" s="250">
        <v>4.51932409800986E-4</v>
      </c>
      <c r="H234" s="401">
        <f t="shared" si="2"/>
        <v>0.95233124093281818</v>
      </c>
    </row>
    <row r="235" spans="1:8" s="227" customFormat="1" ht="14.45" customHeight="1">
      <c r="A235" s="587" t="s">
        <v>1229</v>
      </c>
      <c r="B235" s="592" t="s">
        <v>1230</v>
      </c>
      <c r="C235" s="504" t="s">
        <v>167</v>
      </c>
      <c r="D235" s="600">
        <v>118</v>
      </c>
      <c r="E235" s="192">
        <v>4471.42</v>
      </c>
      <c r="F235" s="250">
        <v>4.5013245179255666E-4</v>
      </c>
      <c r="H235" s="401">
        <f t="shared" si="2"/>
        <v>0.95278137338461077</v>
      </c>
    </row>
    <row r="236" spans="1:8" s="227" customFormat="1" ht="225">
      <c r="A236" s="28" t="s">
        <v>1022</v>
      </c>
      <c r="B236" s="193" t="s">
        <v>2982</v>
      </c>
      <c r="C236" s="599" t="s">
        <v>167</v>
      </c>
      <c r="D236" s="195">
        <v>1</v>
      </c>
      <c r="E236" s="192">
        <v>4447.28</v>
      </c>
      <c r="F236" s="250">
        <v>4.4770230714359226E-4</v>
      </c>
      <c r="H236" s="401">
        <f t="shared" si="2"/>
        <v>0.95322907569175441</v>
      </c>
    </row>
    <row r="237" spans="1:8" s="227" customFormat="1" ht="255">
      <c r="A237" s="28" t="s">
        <v>2991</v>
      </c>
      <c r="B237" s="193" t="s">
        <v>2992</v>
      </c>
      <c r="C237" s="194" t="s">
        <v>167</v>
      </c>
      <c r="D237" s="195">
        <v>1</v>
      </c>
      <c r="E237" s="192">
        <v>4447.28</v>
      </c>
      <c r="F237" s="250">
        <v>4.4770230714359226E-4</v>
      </c>
      <c r="H237" s="401">
        <f t="shared" si="2"/>
        <v>0.95367677799889805</v>
      </c>
    </row>
    <row r="238" spans="1:8" s="227" customFormat="1" ht="102">
      <c r="A238" s="587" t="s">
        <v>3011</v>
      </c>
      <c r="B238" s="592" t="s">
        <v>3012</v>
      </c>
      <c r="C238" s="504" t="s">
        <v>167</v>
      </c>
      <c r="D238" s="504">
        <v>1</v>
      </c>
      <c r="E238" s="192">
        <v>4428.57</v>
      </c>
      <c r="F238" s="250">
        <v>4.4581879403745624E-4</v>
      </c>
      <c r="H238" s="401">
        <f t="shared" si="2"/>
        <v>0.95412259679293554</v>
      </c>
    </row>
    <row r="239" spans="1:8" s="227" customFormat="1" ht="30">
      <c r="A239" s="28" t="s">
        <v>2939</v>
      </c>
      <c r="B239" s="193" t="s">
        <v>2920</v>
      </c>
      <c r="C239" s="194" t="s">
        <v>1401</v>
      </c>
      <c r="D239" s="195">
        <v>57</v>
      </c>
      <c r="E239" s="192">
        <v>4384.9799999999996</v>
      </c>
      <c r="F239" s="250">
        <v>4.4143064137596669E-4</v>
      </c>
      <c r="H239" s="401">
        <f t="shared" si="2"/>
        <v>0.95456402743431146</v>
      </c>
    </row>
    <row r="240" spans="1:8" s="227" customFormat="1">
      <c r="A240" s="28" t="s">
        <v>2655</v>
      </c>
      <c r="B240" s="193" t="s">
        <v>2634</v>
      </c>
      <c r="C240" s="194" t="s">
        <v>167</v>
      </c>
      <c r="D240" s="195">
        <v>56</v>
      </c>
      <c r="E240" s="192">
        <v>4378.3</v>
      </c>
      <c r="F240" s="250">
        <v>4.4075817384261622E-4</v>
      </c>
      <c r="H240" s="401">
        <f t="shared" si="2"/>
        <v>0.95500478560815405</v>
      </c>
    </row>
    <row r="241" spans="1:8" s="227" customFormat="1">
      <c r="A241" s="28" t="s">
        <v>769</v>
      </c>
      <c r="B241" s="193" t="s">
        <v>774</v>
      </c>
      <c r="C241" s="194" t="s">
        <v>150</v>
      </c>
      <c r="D241" s="195">
        <v>28.97</v>
      </c>
      <c r="E241" s="192">
        <v>4356.1899999999996</v>
      </c>
      <c r="F241" s="250">
        <v>4.3853238684225977E-4</v>
      </c>
      <c r="H241" s="401">
        <f t="shared" si="2"/>
        <v>0.95544331799499627</v>
      </c>
    </row>
    <row r="242" spans="1:8" s="227" customFormat="1">
      <c r="A242" s="28" t="s">
        <v>890</v>
      </c>
      <c r="B242" s="193" t="s">
        <v>891</v>
      </c>
      <c r="C242" s="194" t="s">
        <v>167</v>
      </c>
      <c r="D242" s="195">
        <v>195</v>
      </c>
      <c r="E242" s="192">
        <v>4257.7</v>
      </c>
      <c r="F242" s="250">
        <v>4.2861751747703605E-4</v>
      </c>
      <c r="H242" s="401">
        <f t="shared" si="2"/>
        <v>0.95587193551247329</v>
      </c>
    </row>
    <row r="243" spans="1:8" s="227" customFormat="1" ht="30">
      <c r="A243" s="28" t="s">
        <v>533</v>
      </c>
      <c r="B243" s="193" t="s">
        <v>535</v>
      </c>
      <c r="C243" s="194" t="s">
        <v>167</v>
      </c>
      <c r="D243" s="195">
        <v>4</v>
      </c>
      <c r="E243" s="192">
        <v>4204</v>
      </c>
      <c r="F243" s="250">
        <v>4.2321160332420309E-4</v>
      </c>
      <c r="H243" s="401">
        <f t="shared" si="2"/>
        <v>0.95629514711579755</v>
      </c>
    </row>
    <row r="244" spans="1:8" s="227" customFormat="1">
      <c r="A244" s="28" t="s">
        <v>306</v>
      </c>
      <c r="B244" s="193" t="s">
        <v>307</v>
      </c>
      <c r="C244" s="599" t="s">
        <v>180</v>
      </c>
      <c r="D244" s="195">
        <v>400</v>
      </c>
      <c r="E244" s="192">
        <v>4202.93</v>
      </c>
      <c r="F244" s="250">
        <v>4.2310388771631612E-4</v>
      </c>
      <c r="H244" s="401">
        <f t="shared" si="2"/>
        <v>0.95671825100351382</v>
      </c>
    </row>
    <row r="245" spans="1:8" s="227" customFormat="1">
      <c r="A245" s="28" t="s">
        <v>2943</v>
      </c>
      <c r="B245" s="193" t="s">
        <v>2925</v>
      </c>
      <c r="C245" s="194" t="s">
        <v>1932</v>
      </c>
      <c r="D245" s="195">
        <v>12</v>
      </c>
      <c r="E245" s="192">
        <v>4157.7700000000004</v>
      </c>
      <c r="F245" s="250">
        <v>4.1855768505073078E-4</v>
      </c>
      <c r="H245" s="401">
        <f t="shared" si="2"/>
        <v>0.95713680868856454</v>
      </c>
    </row>
    <row r="246" spans="1:8" s="227" customFormat="1">
      <c r="A246" s="28" t="s">
        <v>791</v>
      </c>
      <c r="B246" s="193" t="s">
        <v>792</v>
      </c>
      <c r="C246" s="194" t="s">
        <v>150</v>
      </c>
      <c r="D246" s="195">
        <v>281.98</v>
      </c>
      <c r="E246" s="192">
        <v>4139.59</v>
      </c>
      <c r="F246" s="250">
        <v>4.1672752640457611E-4</v>
      </c>
      <c r="H246" s="401">
        <f t="shared" si="2"/>
        <v>0.95755353621496908</v>
      </c>
    </row>
    <row r="247" spans="1:8" s="227" customFormat="1">
      <c r="A247" s="28" t="s">
        <v>298</v>
      </c>
      <c r="B247" s="193" t="s">
        <v>299</v>
      </c>
      <c r="C247" s="194" t="s">
        <v>167</v>
      </c>
      <c r="D247" s="195">
        <v>17</v>
      </c>
      <c r="E247" s="192">
        <v>4105.41</v>
      </c>
      <c r="F247" s="250">
        <v>4.1328666707973755E-4</v>
      </c>
      <c r="H247" s="401">
        <f t="shared" si="2"/>
        <v>0.95796682288204882</v>
      </c>
    </row>
    <row r="248" spans="1:8" s="227" customFormat="1">
      <c r="A248" s="28" t="s">
        <v>168</v>
      </c>
      <c r="B248" s="193" t="s">
        <v>170</v>
      </c>
      <c r="C248" s="194" t="s">
        <v>167</v>
      </c>
      <c r="D248" s="195">
        <v>7</v>
      </c>
      <c r="E248" s="192">
        <v>4100.66</v>
      </c>
      <c r="F248" s="250">
        <v>4.1280849031575324E-4</v>
      </c>
      <c r="H248" s="401">
        <f t="shared" si="2"/>
        <v>0.95837963137236459</v>
      </c>
    </row>
    <row r="249" spans="1:8" s="227" customFormat="1" ht="14.45" customHeight="1">
      <c r="A249" s="28" t="s">
        <v>302</v>
      </c>
      <c r="B249" s="193" t="s">
        <v>303</v>
      </c>
      <c r="C249" s="194" t="s">
        <v>167</v>
      </c>
      <c r="D249" s="195">
        <v>51</v>
      </c>
      <c r="E249" s="192">
        <v>4015.88</v>
      </c>
      <c r="F249" s="250">
        <v>4.0427379009457681E-4</v>
      </c>
      <c r="H249" s="401">
        <f t="shared" si="2"/>
        <v>0.95878390516245915</v>
      </c>
    </row>
    <row r="250" spans="1:8" s="227" customFormat="1">
      <c r="A250" s="28" t="s">
        <v>920</v>
      </c>
      <c r="B250" s="193" t="s">
        <v>227</v>
      </c>
      <c r="C250" s="194" t="s">
        <v>167</v>
      </c>
      <c r="D250" s="195">
        <v>101</v>
      </c>
      <c r="E250" s="192">
        <v>4000.35</v>
      </c>
      <c r="F250" s="250">
        <v>4.0271040374832917E-4</v>
      </c>
      <c r="H250" s="401">
        <f t="shared" si="2"/>
        <v>0.95918661556620743</v>
      </c>
    </row>
    <row r="251" spans="1:8" s="227" customFormat="1">
      <c r="A251" s="28" t="s">
        <v>1245</v>
      </c>
      <c r="B251" s="193" t="s">
        <v>931</v>
      </c>
      <c r="C251" s="194" t="s">
        <v>167</v>
      </c>
      <c r="D251" s="195">
        <v>612</v>
      </c>
      <c r="E251" s="192">
        <v>3998.15</v>
      </c>
      <c r="F251" s="250">
        <v>4.0248893240501013E-4</v>
      </c>
      <c r="H251" s="401">
        <f t="shared" si="2"/>
        <v>0.95958910449861246</v>
      </c>
    </row>
    <row r="252" spans="1:8" s="227" customFormat="1">
      <c r="A252" s="28" t="s">
        <v>2884</v>
      </c>
      <c r="B252" s="193" t="s">
        <v>2856</v>
      </c>
      <c r="C252" s="194" t="s">
        <v>2857</v>
      </c>
      <c r="D252" s="195">
        <v>351</v>
      </c>
      <c r="E252" s="192">
        <v>3962.71</v>
      </c>
      <c r="F252" s="250">
        <v>3.9892123040172526E-4</v>
      </c>
      <c r="H252" s="401">
        <f t="shared" si="2"/>
        <v>0.9599880257290142</v>
      </c>
    </row>
    <row r="253" spans="1:8" s="227" customFormat="1">
      <c r="A253" s="28" t="s">
        <v>272</v>
      </c>
      <c r="B253" s="193" t="s">
        <v>274</v>
      </c>
      <c r="C253" s="194" t="s">
        <v>167</v>
      </c>
      <c r="D253" s="195">
        <v>4</v>
      </c>
      <c r="E253" s="192">
        <v>3800.59</v>
      </c>
      <c r="F253" s="250">
        <v>3.8260080577496029E-4</v>
      </c>
      <c r="H253" s="401">
        <f t="shared" si="2"/>
        <v>0.96037062653478922</v>
      </c>
    </row>
    <row r="254" spans="1:8" s="227" customFormat="1">
      <c r="A254" s="28" t="s">
        <v>387</v>
      </c>
      <c r="B254" s="193" t="s">
        <v>389</v>
      </c>
      <c r="C254" s="194" t="s">
        <v>167</v>
      </c>
      <c r="D254" s="195">
        <v>1</v>
      </c>
      <c r="E254" s="192">
        <v>3789.91</v>
      </c>
      <c r="F254" s="250">
        <v>3.8152566307193874E-4</v>
      </c>
      <c r="H254" s="401">
        <f t="shared" si="2"/>
        <v>0.96075215219786114</v>
      </c>
    </row>
    <row r="255" spans="1:8" s="227" customFormat="1" ht="30">
      <c r="A255" s="28" t="s">
        <v>671</v>
      </c>
      <c r="B255" s="193" t="s">
        <v>673</v>
      </c>
      <c r="C255" s="194" t="s">
        <v>167</v>
      </c>
      <c r="D255" s="195">
        <v>2</v>
      </c>
      <c r="E255" s="192">
        <v>3769.12</v>
      </c>
      <c r="F255" s="250">
        <v>3.7943275887757381E-4</v>
      </c>
      <c r="H255" s="401">
        <f t="shared" si="2"/>
        <v>0.96113158495673867</v>
      </c>
    </row>
    <row r="256" spans="1:8" s="227" customFormat="1">
      <c r="A256" s="587" t="s">
        <v>953</v>
      </c>
      <c r="B256" s="592" t="s">
        <v>955</v>
      </c>
      <c r="C256" s="504" t="s">
        <v>180</v>
      </c>
      <c r="D256" s="600">
        <v>30</v>
      </c>
      <c r="E256" s="192">
        <v>3734.57</v>
      </c>
      <c r="F256" s="250">
        <v>3.7595465209954072E-4</v>
      </c>
      <c r="H256" s="401">
        <f t="shared" si="2"/>
        <v>0.96150753960883817</v>
      </c>
    </row>
    <row r="257" spans="1:8" s="227" customFormat="1" ht="30">
      <c r="A257" s="28" t="s">
        <v>1086</v>
      </c>
      <c r="B257" s="193" t="s">
        <v>1088</v>
      </c>
      <c r="C257" s="194" t="s">
        <v>167</v>
      </c>
      <c r="D257" s="195">
        <v>1</v>
      </c>
      <c r="E257" s="192">
        <v>3729.32</v>
      </c>
      <c r="F257" s="250">
        <v>3.7542614093934759E-4</v>
      </c>
      <c r="H257" s="401">
        <f t="shared" ref="H257:H320" si="3">H256+F257</f>
        <v>0.9618829657497775</v>
      </c>
    </row>
    <row r="258" spans="1:8" s="227" customFormat="1" ht="30">
      <c r="A258" s="28" t="s">
        <v>2963</v>
      </c>
      <c r="B258" s="193" t="s">
        <v>2960</v>
      </c>
      <c r="C258" s="599" t="s">
        <v>167</v>
      </c>
      <c r="D258" s="195">
        <v>2</v>
      </c>
      <c r="E258" s="192">
        <v>3703.69</v>
      </c>
      <c r="F258" s="250">
        <v>3.7284599978968074E-4</v>
      </c>
      <c r="H258" s="401">
        <f t="shared" si="3"/>
        <v>0.9622558117495672</v>
      </c>
    </row>
    <row r="259" spans="1:8" s="227" customFormat="1">
      <c r="A259" s="28" t="s">
        <v>694</v>
      </c>
      <c r="B259" s="193" t="s">
        <v>696</v>
      </c>
      <c r="C259" s="194" t="s">
        <v>167</v>
      </c>
      <c r="D259" s="195">
        <v>18</v>
      </c>
      <c r="E259" s="192">
        <v>3655.76</v>
      </c>
      <c r="F259" s="250">
        <v>3.6802094456909822E-4</v>
      </c>
      <c r="H259" s="401">
        <f t="shared" si="3"/>
        <v>0.96262383269413632</v>
      </c>
    </row>
    <row r="260" spans="1:8" s="227" customFormat="1">
      <c r="A260" s="28" t="s">
        <v>171</v>
      </c>
      <c r="B260" s="193" t="s">
        <v>173</v>
      </c>
      <c r="C260" s="194" t="s">
        <v>167</v>
      </c>
      <c r="D260" s="195">
        <v>29</v>
      </c>
      <c r="E260" s="192">
        <v>3648.83</v>
      </c>
      <c r="F260" s="250">
        <v>3.6732330983764319E-4</v>
      </c>
      <c r="H260" s="401">
        <f t="shared" si="3"/>
        <v>0.962991156003974</v>
      </c>
    </row>
    <row r="261" spans="1:8" s="227" customFormat="1" ht="30">
      <c r="A261" s="28" t="s">
        <v>2789</v>
      </c>
      <c r="B261" s="193" t="s">
        <v>2732</v>
      </c>
      <c r="C261" s="194" t="s">
        <v>167</v>
      </c>
      <c r="D261" s="195">
        <v>4</v>
      </c>
      <c r="E261" s="192">
        <v>3648.2</v>
      </c>
      <c r="F261" s="250">
        <v>3.6725988849842001E-4</v>
      </c>
      <c r="H261" s="401">
        <f t="shared" si="3"/>
        <v>0.9633584158924724</v>
      </c>
    </row>
    <row r="262" spans="1:8" s="227" customFormat="1">
      <c r="A262" s="28" t="s">
        <v>191</v>
      </c>
      <c r="B262" s="193" t="s">
        <v>192</v>
      </c>
      <c r="C262" s="194" t="s">
        <v>167</v>
      </c>
      <c r="D262" s="195">
        <v>30</v>
      </c>
      <c r="E262" s="192">
        <v>3637.69</v>
      </c>
      <c r="F262" s="250">
        <v>3.6620185949010954E-4</v>
      </c>
      <c r="H262" s="401">
        <f t="shared" si="3"/>
        <v>0.9637246177519625</v>
      </c>
    </row>
    <row r="263" spans="1:8" s="227" customFormat="1">
      <c r="A263" s="28" t="s">
        <v>1219</v>
      </c>
      <c r="B263" s="193" t="s">
        <v>1221</v>
      </c>
      <c r="C263" s="194" t="s">
        <v>180</v>
      </c>
      <c r="D263" s="195">
        <v>554.32000000000005</v>
      </c>
      <c r="E263" s="192">
        <v>3630.55</v>
      </c>
      <c r="F263" s="250">
        <v>3.6548308431224685E-4</v>
      </c>
      <c r="H263" s="401">
        <f t="shared" si="3"/>
        <v>0.96409010083627478</v>
      </c>
    </row>
    <row r="264" spans="1:8" s="227" customFormat="1">
      <c r="A264" s="28" t="s">
        <v>921</v>
      </c>
      <c r="B264" s="193" t="s">
        <v>230</v>
      </c>
      <c r="C264" s="194" t="s">
        <v>167</v>
      </c>
      <c r="D264" s="195">
        <v>91</v>
      </c>
      <c r="E264" s="192">
        <v>3604.27</v>
      </c>
      <c r="F264" s="250">
        <v>3.6283750844750846E-4</v>
      </c>
      <c r="H264" s="401">
        <f t="shared" si="3"/>
        <v>0.96445293834472223</v>
      </c>
    </row>
    <row r="265" spans="1:8" s="227" customFormat="1">
      <c r="A265" s="28" t="s">
        <v>677</v>
      </c>
      <c r="B265" s="193" t="s">
        <v>679</v>
      </c>
      <c r="C265" s="194" t="s">
        <v>167</v>
      </c>
      <c r="D265" s="195">
        <v>2</v>
      </c>
      <c r="E265" s="192">
        <v>3564.69</v>
      </c>
      <c r="F265" s="250">
        <v>3.588530376436141E-4</v>
      </c>
      <c r="H265" s="401">
        <f t="shared" si="3"/>
        <v>0.96481179138236584</v>
      </c>
    </row>
    <row r="266" spans="1:8" s="227" customFormat="1" ht="30">
      <c r="A266" s="28" t="s">
        <v>500</v>
      </c>
      <c r="B266" s="193" t="s">
        <v>502</v>
      </c>
      <c r="C266" s="194" t="s">
        <v>167</v>
      </c>
      <c r="D266" s="195">
        <v>4</v>
      </c>
      <c r="E266" s="192">
        <v>3522.07</v>
      </c>
      <c r="F266" s="250">
        <v>3.5456253371076975E-4</v>
      </c>
      <c r="H266" s="401">
        <f t="shared" si="3"/>
        <v>0.96516635391607664</v>
      </c>
    </row>
    <row r="267" spans="1:8" s="227" customFormat="1" ht="30">
      <c r="A267" s="28" t="s">
        <v>350</v>
      </c>
      <c r="B267" s="193" t="s">
        <v>352</v>
      </c>
      <c r="C267" s="194" t="s">
        <v>180</v>
      </c>
      <c r="D267" s="195">
        <v>25</v>
      </c>
      <c r="E267" s="192">
        <v>3516.1</v>
      </c>
      <c r="F267" s="250">
        <v>3.5396154102003581E-4</v>
      </c>
      <c r="H267" s="401">
        <f t="shared" si="3"/>
        <v>0.96552031545709671</v>
      </c>
    </row>
    <row r="268" spans="1:8" s="227" customFormat="1" ht="25.5">
      <c r="A268" s="504" t="s">
        <v>275</v>
      </c>
      <c r="B268" s="505" t="s">
        <v>276</v>
      </c>
      <c r="C268" s="504" t="s">
        <v>167</v>
      </c>
      <c r="D268" s="504">
        <v>2</v>
      </c>
      <c r="E268" s="192">
        <v>3490.2</v>
      </c>
      <c r="F268" s="250">
        <v>3.5135421929641616E-4</v>
      </c>
      <c r="H268" s="401">
        <f t="shared" si="3"/>
        <v>0.96587166967639315</v>
      </c>
    </row>
    <row r="269" spans="1:8" s="227" customFormat="1" ht="30">
      <c r="A269" s="28" t="s">
        <v>1094</v>
      </c>
      <c r="B269" s="193" t="s">
        <v>1096</v>
      </c>
      <c r="C269" s="194" t="s">
        <v>167</v>
      </c>
      <c r="D269" s="195">
        <v>54</v>
      </c>
      <c r="E269" s="192">
        <v>3478.75</v>
      </c>
      <c r="F269" s="250">
        <v>3.5020156162323302E-4</v>
      </c>
      <c r="H269" s="401">
        <f t="shared" si="3"/>
        <v>0.96622187123801639</v>
      </c>
    </row>
    <row r="270" spans="1:8" s="227" customFormat="1">
      <c r="A270" s="28" t="s">
        <v>723</v>
      </c>
      <c r="B270" s="193" t="s">
        <v>725</v>
      </c>
      <c r="C270" s="194" t="s">
        <v>167</v>
      </c>
      <c r="D270" s="195">
        <v>2</v>
      </c>
      <c r="E270" s="192">
        <v>3461.16</v>
      </c>
      <c r="F270" s="250">
        <v>3.4843079756460485E-4</v>
      </c>
      <c r="H270" s="401">
        <f t="shared" si="3"/>
        <v>0.96657030203558103</v>
      </c>
    </row>
    <row r="271" spans="1:8" s="227" customFormat="1">
      <c r="A271" s="587" t="s">
        <v>2599</v>
      </c>
      <c r="B271" s="593" t="s">
        <v>2571</v>
      </c>
      <c r="C271" s="504" t="s">
        <v>167</v>
      </c>
      <c r="D271" s="504">
        <v>24</v>
      </c>
      <c r="E271" s="192">
        <v>3430.01</v>
      </c>
      <c r="F271" s="250">
        <v>3.4529496468079212E-4</v>
      </c>
      <c r="H271" s="401">
        <f t="shared" si="3"/>
        <v>0.96691559700026186</v>
      </c>
    </row>
    <row r="272" spans="1:8" s="227" customFormat="1">
      <c r="A272" s="28" t="s">
        <v>292</v>
      </c>
      <c r="B272" s="193" t="s">
        <v>293</v>
      </c>
      <c r="C272" s="194" t="s">
        <v>167</v>
      </c>
      <c r="D272" s="195">
        <v>28</v>
      </c>
      <c r="E272" s="192">
        <v>3346.15</v>
      </c>
      <c r="F272" s="250">
        <v>3.3685287974863994E-4</v>
      </c>
      <c r="H272" s="401">
        <f t="shared" si="3"/>
        <v>0.96725244988001047</v>
      </c>
    </row>
    <row r="273" spans="1:8" s="227" customFormat="1" ht="30">
      <c r="A273" s="28" t="s">
        <v>1198</v>
      </c>
      <c r="B273" s="193" t="s">
        <v>1200</v>
      </c>
      <c r="C273" s="194" t="s">
        <v>167</v>
      </c>
      <c r="D273" s="195">
        <v>2</v>
      </c>
      <c r="E273" s="192">
        <v>3275.63</v>
      </c>
      <c r="F273" s="250">
        <v>3.297537165073405E-4</v>
      </c>
      <c r="H273" s="401">
        <f t="shared" si="3"/>
        <v>0.96758220359651781</v>
      </c>
    </row>
    <row r="274" spans="1:8" s="227" customFormat="1" ht="30">
      <c r="A274" s="28" t="s">
        <v>424</v>
      </c>
      <c r="B274" s="193" t="s">
        <v>426</v>
      </c>
      <c r="C274" s="194" t="s">
        <v>167</v>
      </c>
      <c r="D274" s="195">
        <v>3</v>
      </c>
      <c r="E274" s="192">
        <v>3172.09</v>
      </c>
      <c r="F274" s="250">
        <v>3.193304697404071E-4</v>
      </c>
      <c r="H274" s="401">
        <f t="shared" si="3"/>
        <v>0.96790153406625823</v>
      </c>
    </row>
    <row r="275" spans="1:8" s="227" customFormat="1" ht="30">
      <c r="A275" s="28" t="s">
        <v>554</v>
      </c>
      <c r="B275" s="193" t="s">
        <v>556</v>
      </c>
      <c r="C275" s="194" t="s">
        <v>167</v>
      </c>
      <c r="D275" s="195">
        <v>5</v>
      </c>
      <c r="E275" s="192">
        <v>3123.42</v>
      </c>
      <c r="F275" s="250">
        <v>3.1443091961343541E-4</v>
      </c>
      <c r="H275" s="401">
        <f t="shared" si="3"/>
        <v>0.9682159649858717</v>
      </c>
    </row>
    <row r="276" spans="1:8" s="227" customFormat="1">
      <c r="A276" s="28" t="s">
        <v>2608</v>
      </c>
      <c r="B276" s="193" t="s">
        <v>2589</v>
      </c>
      <c r="C276" s="194" t="s">
        <v>167</v>
      </c>
      <c r="D276" s="195">
        <v>103</v>
      </c>
      <c r="E276" s="192">
        <v>3107.32</v>
      </c>
      <c r="F276" s="250">
        <v>3.1281015205550974E-4</v>
      </c>
      <c r="H276" s="401">
        <f t="shared" si="3"/>
        <v>0.96852877513792723</v>
      </c>
    </row>
    <row r="277" spans="1:8" s="227" customFormat="1">
      <c r="A277" s="28" t="s">
        <v>613</v>
      </c>
      <c r="B277" s="193" t="s">
        <v>615</v>
      </c>
      <c r="C277" s="194" t="s">
        <v>167</v>
      </c>
      <c r="D277" s="195">
        <v>5</v>
      </c>
      <c r="E277" s="192">
        <v>3071.95</v>
      </c>
      <c r="F277" s="250">
        <v>3.0924949686769401E-4</v>
      </c>
      <c r="H277" s="401">
        <f t="shared" si="3"/>
        <v>0.96883802463479496</v>
      </c>
    </row>
    <row r="278" spans="1:8" s="227" customFormat="1">
      <c r="A278" s="28" t="s">
        <v>747</v>
      </c>
      <c r="B278" s="193" t="s">
        <v>749</v>
      </c>
      <c r="C278" s="194" t="s">
        <v>150</v>
      </c>
      <c r="D278" s="195">
        <v>400</v>
      </c>
      <c r="E278" s="192">
        <v>3041.91</v>
      </c>
      <c r="F278" s="250">
        <v>3.0622540634346493E-4</v>
      </c>
      <c r="H278" s="401">
        <f t="shared" si="3"/>
        <v>0.96914425004113847</v>
      </c>
    </row>
    <row r="279" spans="1:8" s="227" customFormat="1">
      <c r="A279" s="588" t="s">
        <v>2649</v>
      </c>
      <c r="B279" s="505" t="s">
        <v>2627</v>
      </c>
      <c r="C279" s="504" t="s">
        <v>167</v>
      </c>
      <c r="D279" s="504">
        <v>136</v>
      </c>
      <c r="E279" s="192">
        <v>3026.9</v>
      </c>
      <c r="F279" s="250">
        <v>3.047143677692746E-4</v>
      </c>
      <c r="H279" s="401">
        <f t="shared" si="3"/>
        <v>0.96944896440890771</v>
      </c>
    </row>
    <row r="280" spans="1:8" s="227" customFormat="1">
      <c r="A280" s="28" t="s">
        <v>195</v>
      </c>
      <c r="B280" s="193" t="s">
        <v>196</v>
      </c>
      <c r="C280" s="194" t="s">
        <v>180</v>
      </c>
      <c r="D280" s="195">
        <v>159</v>
      </c>
      <c r="E280" s="192">
        <v>3015.49</v>
      </c>
      <c r="F280" s="250">
        <v>3.0356573684778808E-4</v>
      </c>
      <c r="H280" s="401">
        <f t="shared" si="3"/>
        <v>0.96975253014575546</v>
      </c>
    </row>
    <row r="281" spans="1:8" s="227" customFormat="1">
      <c r="A281" s="28" t="s">
        <v>370</v>
      </c>
      <c r="B281" s="193" t="s">
        <v>371</v>
      </c>
      <c r="C281" s="194" t="s">
        <v>167</v>
      </c>
      <c r="D281" s="195">
        <v>1</v>
      </c>
      <c r="E281" s="192">
        <v>2998.55</v>
      </c>
      <c r="F281" s="250">
        <v>3.0186040750423152E-4</v>
      </c>
      <c r="H281" s="401">
        <f t="shared" si="3"/>
        <v>0.9700543905532597</v>
      </c>
    </row>
    <row r="282" spans="1:8" s="227" customFormat="1">
      <c r="A282" s="28" t="s">
        <v>2648</v>
      </c>
      <c r="B282" s="193" t="s">
        <v>2625</v>
      </c>
      <c r="C282" s="599" t="s">
        <v>167</v>
      </c>
      <c r="D282" s="195">
        <v>48</v>
      </c>
      <c r="E282" s="192">
        <v>2987.95</v>
      </c>
      <c r="F282" s="250">
        <v>3.0079331830460337E-4</v>
      </c>
      <c r="H282" s="401">
        <f t="shared" si="3"/>
        <v>0.97035518387156428</v>
      </c>
    </row>
    <row r="283" spans="1:8" s="227" customFormat="1">
      <c r="A283" s="28" t="s">
        <v>908</v>
      </c>
      <c r="B283" s="193" t="s">
        <v>215</v>
      </c>
      <c r="C283" s="194" t="s">
        <v>180</v>
      </c>
      <c r="D283" s="195">
        <v>64</v>
      </c>
      <c r="E283" s="192">
        <v>2987.16</v>
      </c>
      <c r="F283" s="250">
        <v>3.0071378995859336E-4</v>
      </c>
      <c r="H283" s="401">
        <f t="shared" si="3"/>
        <v>0.97065589766152283</v>
      </c>
    </row>
    <row r="284" spans="1:8" s="227" customFormat="1">
      <c r="A284" s="28" t="s">
        <v>254</v>
      </c>
      <c r="B284" s="193" t="s">
        <v>255</v>
      </c>
      <c r="C284" s="194" t="s">
        <v>253</v>
      </c>
      <c r="D284" s="195">
        <v>30.16</v>
      </c>
      <c r="E284" s="192">
        <v>2954.74</v>
      </c>
      <c r="F284" s="250">
        <v>2.9745010770841006E-4</v>
      </c>
      <c r="H284" s="401">
        <f t="shared" si="3"/>
        <v>0.97095334776923126</v>
      </c>
    </row>
    <row r="285" spans="1:8" s="227" customFormat="1">
      <c r="A285" s="28" t="s">
        <v>2757</v>
      </c>
      <c r="B285" s="193" t="s">
        <v>2693</v>
      </c>
      <c r="C285" s="599" t="s">
        <v>150</v>
      </c>
      <c r="D285" s="195">
        <v>25</v>
      </c>
      <c r="E285" s="192">
        <v>2887.96</v>
      </c>
      <c r="F285" s="250">
        <v>2.90727445750753E-4</v>
      </c>
      <c r="H285" s="401">
        <f t="shared" si="3"/>
        <v>0.97124407521498202</v>
      </c>
    </row>
    <row r="286" spans="1:8" s="227" customFormat="1">
      <c r="A286" s="28" t="s">
        <v>1231</v>
      </c>
      <c r="B286" s="193" t="s">
        <v>1232</v>
      </c>
      <c r="C286" s="194" t="s">
        <v>180</v>
      </c>
      <c r="D286" s="195">
        <v>162.84</v>
      </c>
      <c r="E286" s="192">
        <v>2863.82</v>
      </c>
      <c r="F286" s="250">
        <v>2.8829730110178865E-4</v>
      </c>
      <c r="H286" s="401">
        <f t="shared" si="3"/>
        <v>0.97153237251608382</v>
      </c>
    </row>
    <row r="287" spans="1:8" s="227" customFormat="1">
      <c r="A287" s="28" t="s">
        <v>744</v>
      </c>
      <c r="B287" s="193" t="s">
        <v>746</v>
      </c>
      <c r="C287" s="194" t="s">
        <v>167</v>
      </c>
      <c r="D287" s="195">
        <v>1</v>
      </c>
      <c r="E287" s="192">
        <v>2859.18</v>
      </c>
      <c r="F287" s="250">
        <v>2.8783019790497028E-4</v>
      </c>
      <c r="H287" s="401">
        <f t="shared" si="3"/>
        <v>0.97182020271398883</v>
      </c>
    </row>
    <row r="288" spans="1:8" s="227" customFormat="1">
      <c r="A288" s="28" t="s">
        <v>1248</v>
      </c>
      <c r="B288" s="193" t="s">
        <v>1249</v>
      </c>
      <c r="C288" s="194" t="s">
        <v>167</v>
      </c>
      <c r="D288" s="195">
        <v>1</v>
      </c>
      <c r="E288" s="192">
        <v>2859.18</v>
      </c>
      <c r="F288" s="250">
        <v>2.8783019790497028E-4</v>
      </c>
      <c r="H288" s="401">
        <f t="shared" si="3"/>
        <v>0.97210803291189385</v>
      </c>
    </row>
    <row r="289" spans="1:8" s="227" customFormat="1" ht="25.5">
      <c r="A289" s="504" t="s">
        <v>419</v>
      </c>
      <c r="B289" s="505" t="s">
        <v>421</v>
      </c>
      <c r="C289" s="504" t="s">
        <v>167</v>
      </c>
      <c r="D289" s="504">
        <v>16</v>
      </c>
      <c r="E289" s="192">
        <v>2845.87</v>
      </c>
      <c r="F289" s="250">
        <v>2.8649029627789006E-4</v>
      </c>
      <c r="H289" s="401">
        <f t="shared" si="3"/>
        <v>0.97239452320817177</v>
      </c>
    </row>
    <row r="290" spans="1:8" s="227" customFormat="1">
      <c r="A290" s="28" t="s">
        <v>2948</v>
      </c>
      <c r="B290" s="193" t="s">
        <v>2952</v>
      </c>
      <c r="C290" s="194" t="s">
        <v>1932</v>
      </c>
      <c r="D290" s="195">
        <v>1</v>
      </c>
      <c r="E290" s="192">
        <v>2832.55</v>
      </c>
      <c r="F290" s="250">
        <v>2.8514938796288572E-4</v>
      </c>
      <c r="H290" s="401">
        <f t="shared" si="3"/>
        <v>0.97267967259613464</v>
      </c>
    </row>
    <row r="291" spans="1:8" s="227" customFormat="1">
      <c r="A291" s="28" t="s">
        <v>627</v>
      </c>
      <c r="B291" s="193" t="s">
        <v>629</v>
      </c>
      <c r="C291" s="194" t="s">
        <v>167</v>
      </c>
      <c r="D291" s="195">
        <v>9</v>
      </c>
      <c r="E291" s="192">
        <v>2805.62</v>
      </c>
      <c r="F291" s="250">
        <v>2.8243837738307578E-4</v>
      </c>
      <c r="H291" s="401">
        <f t="shared" si="3"/>
        <v>0.9729621109735177</v>
      </c>
    </row>
    <row r="292" spans="1:8" s="227" customFormat="1">
      <c r="A292" s="28" t="s">
        <v>2681</v>
      </c>
      <c r="B292" s="193" t="s">
        <v>2674</v>
      </c>
      <c r="C292" s="194" t="s">
        <v>180</v>
      </c>
      <c r="D292" s="195">
        <v>525</v>
      </c>
      <c r="E292" s="192">
        <v>2803.82</v>
      </c>
      <c r="F292" s="250">
        <v>2.822571735567239E-4</v>
      </c>
      <c r="H292" s="401">
        <f t="shared" si="3"/>
        <v>0.97324436814707438</v>
      </c>
    </row>
    <row r="293" spans="1:8" s="227" customFormat="1">
      <c r="A293" s="28" t="s">
        <v>269</v>
      </c>
      <c r="B293" s="193" t="s">
        <v>271</v>
      </c>
      <c r="C293" s="194" t="s">
        <v>167</v>
      </c>
      <c r="D293" s="195">
        <v>4</v>
      </c>
      <c r="E293" s="192">
        <v>2801.52</v>
      </c>
      <c r="F293" s="250">
        <v>2.8202563533416303E-4</v>
      </c>
      <c r="H293" s="401">
        <f t="shared" si="3"/>
        <v>0.97352639378240857</v>
      </c>
    </row>
    <row r="294" spans="1:8" s="227" customFormat="1">
      <c r="A294" s="28" t="s">
        <v>241</v>
      </c>
      <c r="B294" s="193" t="s">
        <v>243</v>
      </c>
      <c r="C294" s="194" t="s">
        <v>167</v>
      </c>
      <c r="D294" s="195">
        <v>2</v>
      </c>
      <c r="E294" s="192">
        <v>2754.11</v>
      </c>
      <c r="F294" s="250">
        <v>2.7725292788563776E-4</v>
      </c>
      <c r="H294" s="401">
        <f t="shared" si="3"/>
        <v>0.97380364671029418</v>
      </c>
    </row>
    <row r="295" spans="1:8" s="227" customFormat="1">
      <c r="A295" s="28" t="s">
        <v>2933</v>
      </c>
      <c r="B295" s="193" t="s">
        <v>2913</v>
      </c>
      <c r="C295" s="194" t="s">
        <v>1401</v>
      </c>
      <c r="D295" s="195">
        <v>60</v>
      </c>
      <c r="E295" s="192">
        <v>2747.55</v>
      </c>
      <c r="F295" s="250">
        <v>2.7659254060737732E-4</v>
      </c>
      <c r="H295" s="401">
        <f t="shared" si="3"/>
        <v>0.97408023925090159</v>
      </c>
    </row>
    <row r="296" spans="1:8" s="227" customFormat="1" ht="30">
      <c r="A296" s="28" t="s">
        <v>308</v>
      </c>
      <c r="B296" s="193" t="s">
        <v>310</v>
      </c>
      <c r="C296" s="194" t="s">
        <v>150</v>
      </c>
      <c r="D296" s="195">
        <v>180</v>
      </c>
      <c r="E296" s="192">
        <v>2725.2</v>
      </c>
      <c r="F296" s="250">
        <v>2.7434259309684069E-4</v>
      </c>
      <c r="H296" s="401">
        <f t="shared" si="3"/>
        <v>0.97435458184399848</v>
      </c>
    </row>
    <row r="297" spans="1:8" s="227" customFormat="1">
      <c r="A297" s="28" t="s">
        <v>922</v>
      </c>
      <c r="B297" s="193" t="s">
        <v>233</v>
      </c>
      <c r="C297" s="194" t="s">
        <v>167</v>
      </c>
      <c r="D297" s="195">
        <v>64</v>
      </c>
      <c r="E297" s="192">
        <v>2687.49</v>
      </c>
      <c r="F297" s="250">
        <v>2.7054637293476747E-4</v>
      </c>
      <c r="H297" s="401">
        <f t="shared" si="3"/>
        <v>0.97462512821693326</v>
      </c>
    </row>
    <row r="298" spans="1:8" s="227" customFormat="1">
      <c r="A298" s="28" t="s">
        <v>726</v>
      </c>
      <c r="B298" s="193" t="s">
        <v>728</v>
      </c>
      <c r="C298" s="194" t="s">
        <v>167</v>
      </c>
      <c r="D298" s="195">
        <v>2</v>
      </c>
      <c r="E298" s="192">
        <v>2648.91</v>
      </c>
      <c r="F298" s="250">
        <v>2.6666257092329088E-4</v>
      </c>
      <c r="H298" s="401">
        <f t="shared" si="3"/>
        <v>0.97489179078785659</v>
      </c>
    </row>
    <row r="299" spans="1:8" s="227" customFormat="1">
      <c r="A299" s="28" t="s">
        <v>759</v>
      </c>
      <c r="B299" s="193" t="s">
        <v>760</v>
      </c>
      <c r="C299" s="194" t="s">
        <v>150</v>
      </c>
      <c r="D299" s="195">
        <v>1155</v>
      </c>
      <c r="E299" s="192">
        <v>2639.5</v>
      </c>
      <c r="F299" s="250">
        <v>2.657152775866399E-4</v>
      </c>
      <c r="H299" s="401">
        <f t="shared" si="3"/>
        <v>0.97515750606544327</v>
      </c>
    </row>
    <row r="300" spans="1:8" s="227" customFormat="1">
      <c r="A300" s="28" t="s">
        <v>569</v>
      </c>
      <c r="B300" s="193" t="s">
        <v>571</v>
      </c>
      <c r="C300" s="194" t="s">
        <v>167</v>
      </c>
      <c r="D300" s="195">
        <v>33</v>
      </c>
      <c r="E300" s="192">
        <v>2563.63</v>
      </c>
      <c r="F300" s="250">
        <v>2.5807753630590556E-4</v>
      </c>
      <c r="H300" s="401">
        <f t="shared" si="3"/>
        <v>0.97541558360174918</v>
      </c>
    </row>
    <row r="301" spans="1:8" s="227" customFormat="1">
      <c r="A301" s="28" t="s">
        <v>898</v>
      </c>
      <c r="B301" s="193" t="s">
        <v>899</v>
      </c>
      <c r="C301" s="194" t="s">
        <v>167</v>
      </c>
      <c r="D301" s="195">
        <v>195</v>
      </c>
      <c r="E301" s="192">
        <v>2557.5300000000002</v>
      </c>
      <c r="F301" s="250">
        <v>2.5746345667215727E-4</v>
      </c>
      <c r="H301" s="401">
        <f t="shared" si="3"/>
        <v>0.97567304705842128</v>
      </c>
    </row>
    <row r="302" spans="1:8" s="227" customFormat="1">
      <c r="A302" s="28" t="s">
        <v>316</v>
      </c>
      <c r="B302" s="193" t="s">
        <v>317</v>
      </c>
      <c r="C302" s="194" t="s">
        <v>253</v>
      </c>
      <c r="D302" s="195">
        <v>2.5099999999999998</v>
      </c>
      <c r="E302" s="192">
        <v>2550.11</v>
      </c>
      <c r="F302" s="250">
        <v>2.5671649423241762E-4</v>
      </c>
      <c r="H302" s="401">
        <f t="shared" si="3"/>
        <v>0.97592976355265371</v>
      </c>
    </row>
    <row r="303" spans="1:8" s="227" customFormat="1">
      <c r="A303" s="587" t="s">
        <v>2940</v>
      </c>
      <c r="B303" s="595" t="s">
        <v>2923</v>
      </c>
      <c r="C303" s="504" t="s">
        <v>1932</v>
      </c>
      <c r="D303" s="504">
        <v>9</v>
      </c>
      <c r="E303" s="192">
        <v>2549.81</v>
      </c>
      <c r="F303" s="250">
        <v>2.5668629359469229E-4</v>
      </c>
      <c r="H303" s="401">
        <f t="shared" si="3"/>
        <v>0.97618644984624836</v>
      </c>
    </row>
    <row r="304" spans="1:8" s="227" customFormat="1">
      <c r="A304" s="504" t="s">
        <v>228</v>
      </c>
      <c r="B304" s="505" t="s">
        <v>230</v>
      </c>
      <c r="C304" s="504" t="s">
        <v>167</v>
      </c>
      <c r="D304" s="504">
        <v>64</v>
      </c>
      <c r="E304" s="192">
        <v>2534.87</v>
      </c>
      <c r="F304" s="250">
        <v>2.5518230183597116E-4</v>
      </c>
      <c r="H304" s="401">
        <f t="shared" si="3"/>
        <v>0.97644163214808433</v>
      </c>
    </row>
    <row r="305" spans="1:8" s="227" customFormat="1" ht="30">
      <c r="A305" s="28" t="s">
        <v>503</v>
      </c>
      <c r="B305" s="193" t="s">
        <v>505</v>
      </c>
      <c r="C305" s="194" t="s">
        <v>167</v>
      </c>
      <c r="D305" s="195">
        <v>4</v>
      </c>
      <c r="E305" s="192">
        <v>2532.33</v>
      </c>
      <c r="F305" s="250">
        <v>2.5492660310323005E-4</v>
      </c>
      <c r="H305" s="401">
        <f t="shared" si="3"/>
        <v>0.97669655875118755</v>
      </c>
    </row>
    <row r="306" spans="1:8" s="227" customFormat="1">
      <c r="A306" s="28" t="s">
        <v>799</v>
      </c>
      <c r="B306" s="193" t="s">
        <v>768</v>
      </c>
      <c r="C306" s="194" t="s">
        <v>150</v>
      </c>
      <c r="D306" s="195">
        <v>21.402000000000001</v>
      </c>
      <c r="E306" s="192">
        <v>2512.9899999999998</v>
      </c>
      <c r="F306" s="250">
        <v>2.5297966865787084E-4</v>
      </c>
      <c r="H306" s="401">
        <f t="shared" si="3"/>
        <v>0.97694953841984544</v>
      </c>
    </row>
    <row r="307" spans="1:8" s="227" customFormat="1">
      <c r="A307" s="28" t="s">
        <v>888</v>
      </c>
      <c r="B307" s="193" t="s">
        <v>889</v>
      </c>
      <c r="C307" s="194" t="s">
        <v>167</v>
      </c>
      <c r="D307" s="195">
        <v>176</v>
      </c>
      <c r="E307" s="192">
        <v>2454.79</v>
      </c>
      <c r="F307" s="250">
        <v>2.4712074493915808E-4</v>
      </c>
      <c r="H307" s="401">
        <f t="shared" si="3"/>
        <v>0.9771966591647846</v>
      </c>
    </row>
    <row r="308" spans="1:8" s="227" customFormat="1">
      <c r="A308" s="589" t="s">
        <v>2886</v>
      </c>
      <c r="B308" s="595" t="s">
        <v>2859</v>
      </c>
      <c r="C308" s="504" t="s">
        <v>2249</v>
      </c>
      <c r="D308" s="600">
        <v>2.8319999999999999</v>
      </c>
      <c r="E308" s="192">
        <v>2437.06</v>
      </c>
      <c r="F308" s="250">
        <v>2.4533588724959146E-4</v>
      </c>
      <c r="H308" s="401">
        <f t="shared" si="3"/>
        <v>0.97744199505203422</v>
      </c>
    </row>
    <row r="309" spans="1:8" s="227" customFormat="1" ht="14.45" customHeight="1">
      <c r="A309" s="587" t="s">
        <v>211</v>
      </c>
      <c r="B309" s="596" t="s">
        <v>212</v>
      </c>
      <c r="C309" s="504" t="s">
        <v>180</v>
      </c>
      <c r="D309" s="504">
        <v>89</v>
      </c>
      <c r="E309" s="192">
        <v>2436.2600000000002</v>
      </c>
      <c r="F309" s="250">
        <v>2.4525535221565724E-4</v>
      </c>
      <c r="H309" s="401">
        <f t="shared" si="3"/>
        <v>0.97768725040424986</v>
      </c>
    </row>
    <row r="310" spans="1:8" s="227" customFormat="1" ht="30">
      <c r="A310" s="28" t="s">
        <v>942</v>
      </c>
      <c r="B310" s="193" t="s">
        <v>944</v>
      </c>
      <c r="C310" s="194" t="s">
        <v>167</v>
      </c>
      <c r="D310" s="195">
        <v>41</v>
      </c>
      <c r="E310" s="192">
        <v>2433.0500000000002</v>
      </c>
      <c r="F310" s="250">
        <v>2.4493220539199628E-4</v>
      </c>
      <c r="H310" s="401">
        <f t="shared" si="3"/>
        <v>0.97793218260964188</v>
      </c>
    </row>
    <row r="311" spans="1:8" s="227" customFormat="1">
      <c r="A311" s="28" t="s">
        <v>2756</v>
      </c>
      <c r="B311" s="193" t="s">
        <v>2690</v>
      </c>
      <c r="C311" s="194" t="s">
        <v>150</v>
      </c>
      <c r="D311" s="195">
        <v>50</v>
      </c>
      <c r="E311" s="192">
        <v>2414.4499999999998</v>
      </c>
      <c r="F311" s="250">
        <v>2.4305976585302618E-4</v>
      </c>
      <c r="H311" s="401">
        <f t="shared" si="3"/>
        <v>0.97817524237549491</v>
      </c>
    </row>
    <row r="312" spans="1:8" s="227" customFormat="1">
      <c r="A312" s="28" t="s">
        <v>238</v>
      </c>
      <c r="B312" s="193" t="s">
        <v>240</v>
      </c>
      <c r="C312" s="194" t="s">
        <v>167</v>
      </c>
      <c r="D312" s="195">
        <v>1</v>
      </c>
      <c r="E312" s="192">
        <v>2382.65</v>
      </c>
      <c r="F312" s="250">
        <v>2.398584982541419E-4</v>
      </c>
      <c r="H312" s="401">
        <f t="shared" si="3"/>
        <v>0.97841510087374906</v>
      </c>
    </row>
    <row r="313" spans="1:8" s="227" customFormat="1" ht="26.45" customHeight="1">
      <c r="A313" s="28" t="s">
        <v>742</v>
      </c>
      <c r="B313" s="193" t="s">
        <v>743</v>
      </c>
      <c r="C313" s="194" t="s">
        <v>167</v>
      </c>
      <c r="D313" s="195">
        <v>1</v>
      </c>
      <c r="E313" s="192">
        <v>2382.65</v>
      </c>
      <c r="F313" s="250">
        <v>2.398584982541419E-4</v>
      </c>
      <c r="H313" s="401">
        <f t="shared" si="3"/>
        <v>0.9786549593720032</v>
      </c>
    </row>
    <row r="314" spans="1:8" s="227" customFormat="1">
      <c r="A314" s="28" t="s">
        <v>1246</v>
      </c>
      <c r="B314" s="193" t="s">
        <v>1247</v>
      </c>
      <c r="C314" s="194" t="s">
        <v>167</v>
      </c>
      <c r="D314" s="195">
        <v>1</v>
      </c>
      <c r="E314" s="192">
        <v>2382.65</v>
      </c>
      <c r="F314" s="250">
        <v>2.398584982541419E-4</v>
      </c>
      <c r="H314" s="401">
        <f t="shared" si="3"/>
        <v>0.97889481787025734</v>
      </c>
    </row>
    <row r="315" spans="1:8" s="227" customFormat="1">
      <c r="A315" s="28" t="s">
        <v>775</v>
      </c>
      <c r="B315" s="193" t="s">
        <v>776</v>
      </c>
      <c r="C315" s="194" t="s">
        <v>167</v>
      </c>
      <c r="D315" s="195">
        <v>2</v>
      </c>
      <c r="E315" s="192">
        <v>2372.77</v>
      </c>
      <c r="F315" s="250">
        <v>2.3886389058505456E-4</v>
      </c>
      <c r="H315" s="401">
        <f t="shared" si="3"/>
        <v>0.97913368176084237</v>
      </c>
    </row>
    <row r="316" spans="1:8" s="227" customFormat="1" ht="30">
      <c r="A316" s="28" t="s">
        <v>777</v>
      </c>
      <c r="B316" s="193" t="s">
        <v>778</v>
      </c>
      <c r="C316" s="194" t="s">
        <v>167</v>
      </c>
      <c r="D316" s="195">
        <v>2</v>
      </c>
      <c r="E316" s="192">
        <v>2372.77</v>
      </c>
      <c r="F316" s="250">
        <v>2.3886389058505456E-4</v>
      </c>
      <c r="H316" s="401">
        <f t="shared" si="3"/>
        <v>0.9793725456514274</v>
      </c>
    </row>
    <row r="317" spans="1:8" s="227" customFormat="1" ht="45">
      <c r="A317" s="28" t="s">
        <v>147</v>
      </c>
      <c r="B317" s="193" t="s">
        <v>149</v>
      </c>
      <c r="C317" s="194" t="s">
        <v>150</v>
      </c>
      <c r="D317" s="195">
        <v>6</v>
      </c>
      <c r="E317" s="192">
        <v>2296.04</v>
      </c>
      <c r="F317" s="250">
        <v>2.3113957414284093E-4</v>
      </c>
      <c r="H317" s="401">
        <f t="shared" si="3"/>
        <v>0.97960368522557029</v>
      </c>
    </row>
    <row r="318" spans="1:8" s="227" customFormat="1" ht="26.45" customHeight="1">
      <c r="A318" s="28" t="s">
        <v>524</v>
      </c>
      <c r="B318" s="193" t="s">
        <v>526</v>
      </c>
      <c r="C318" s="194" t="s">
        <v>167</v>
      </c>
      <c r="D318" s="195">
        <v>2</v>
      </c>
      <c r="E318" s="192">
        <v>2269.1</v>
      </c>
      <c r="F318" s="250">
        <v>2.2842755687510686E-4</v>
      </c>
      <c r="H318" s="401">
        <f t="shared" si="3"/>
        <v>0.97983211278244542</v>
      </c>
    </row>
    <row r="319" spans="1:8" s="227" customFormat="1" ht="28.9" customHeight="1">
      <c r="A319" s="587" t="s">
        <v>417</v>
      </c>
      <c r="B319" s="596" t="s">
        <v>418</v>
      </c>
      <c r="C319" s="504" t="s">
        <v>167</v>
      </c>
      <c r="D319" s="504">
        <v>16</v>
      </c>
      <c r="E319" s="192">
        <v>2241.96</v>
      </c>
      <c r="F319" s="250">
        <v>2.2569540584888926E-4</v>
      </c>
      <c r="H319" s="401">
        <f t="shared" si="3"/>
        <v>0.98005780818829435</v>
      </c>
    </row>
    <row r="320" spans="1:8" s="227" customFormat="1">
      <c r="A320" s="28" t="s">
        <v>471</v>
      </c>
      <c r="B320" s="193" t="s">
        <v>473</v>
      </c>
      <c r="C320" s="194" t="s">
        <v>180</v>
      </c>
      <c r="D320" s="195">
        <v>10</v>
      </c>
      <c r="E320" s="192">
        <v>2205.0700000000002</v>
      </c>
      <c r="F320" s="250">
        <v>2.2198173409659861E-4</v>
      </c>
      <c r="H320" s="401">
        <f t="shared" si="3"/>
        <v>0.98027978992239095</v>
      </c>
    </row>
    <row r="321" spans="1:8" s="227" customFormat="1">
      <c r="A321" s="28" t="s">
        <v>244</v>
      </c>
      <c r="B321" s="193" t="s">
        <v>246</v>
      </c>
      <c r="C321" s="194" t="s">
        <v>167</v>
      </c>
      <c r="D321" s="195">
        <v>2</v>
      </c>
      <c r="E321" s="192">
        <v>2203.29</v>
      </c>
      <c r="F321" s="250">
        <v>2.2180254364609502E-4</v>
      </c>
      <c r="H321" s="401">
        <f t="shared" ref="H321:H384" si="4">H320+F321</f>
        <v>0.98050159246603708</v>
      </c>
    </row>
    <row r="322" spans="1:8" s="227" customFormat="1">
      <c r="A322" s="588" t="s">
        <v>1867</v>
      </c>
      <c r="B322" s="505" t="s">
        <v>2560</v>
      </c>
      <c r="C322" s="504" t="s">
        <v>167</v>
      </c>
      <c r="D322" s="504">
        <v>122</v>
      </c>
      <c r="E322" s="192">
        <v>2197.1</v>
      </c>
      <c r="F322" s="250">
        <v>2.2117940382102916E-4</v>
      </c>
      <c r="H322" s="401">
        <f t="shared" si="4"/>
        <v>0.98072277186985812</v>
      </c>
    </row>
    <row r="323" spans="1:8" s="227" customFormat="1">
      <c r="A323" s="28" t="s">
        <v>2942</v>
      </c>
      <c r="B323" s="193" t="s">
        <v>2924</v>
      </c>
      <c r="C323" s="599" t="s">
        <v>1401</v>
      </c>
      <c r="D323" s="195">
        <v>40</v>
      </c>
      <c r="E323" s="192">
        <v>2158.6</v>
      </c>
      <c r="F323" s="250">
        <v>2.1730365531294596E-4</v>
      </c>
      <c r="H323" s="401">
        <f t="shared" si="4"/>
        <v>0.98094007552517104</v>
      </c>
    </row>
    <row r="324" spans="1:8" s="227" customFormat="1" ht="30">
      <c r="A324" s="28" t="s">
        <v>761</v>
      </c>
      <c r="B324" s="193" t="s">
        <v>763</v>
      </c>
      <c r="C324" s="194" t="s">
        <v>150</v>
      </c>
      <c r="D324" s="195">
        <v>1155</v>
      </c>
      <c r="E324" s="192">
        <v>2065.69</v>
      </c>
      <c r="F324" s="250">
        <v>2.079505178094132E-4</v>
      </c>
      <c r="H324" s="401">
        <f t="shared" si="4"/>
        <v>0.98114802604298046</v>
      </c>
    </row>
    <row r="325" spans="1:8" s="227" customFormat="1" ht="30">
      <c r="A325" s="28" t="s">
        <v>482</v>
      </c>
      <c r="B325" s="193" t="s">
        <v>484</v>
      </c>
      <c r="C325" s="194" t="s">
        <v>167</v>
      </c>
      <c r="D325" s="195">
        <v>2</v>
      </c>
      <c r="E325" s="192">
        <v>2058.1999999999998</v>
      </c>
      <c r="F325" s="250">
        <v>2.0719650855420427E-4</v>
      </c>
      <c r="H325" s="401">
        <f t="shared" si="4"/>
        <v>0.98135522255153462</v>
      </c>
    </row>
    <row r="326" spans="1:8" s="227" customFormat="1">
      <c r="A326" s="28" t="s">
        <v>315</v>
      </c>
      <c r="B326" s="193" t="s">
        <v>157</v>
      </c>
      <c r="C326" s="194" t="s">
        <v>158</v>
      </c>
      <c r="D326" s="195">
        <v>5</v>
      </c>
      <c r="E326" s="192">
        <v>2049.3000000000002</v>
      </c>
      <c r="F326" s="250">
        <v>2.0630055630168638E-4</v>
      </c>
      <c r="H326" s="401">
        <f t="shared" si="4"/>
        <v>0.98156152310783629</v>
      </c>
    </row>
    <row r="327" spans="1:8" s="227" customFormat="1">
      <c r="A327" s="28" t="s">
        <v>247</v>
      </c>
      <c r="B327" s="193" t="s">
        <v>249</v>
      </c>
      <c r="C327" s="194" t="s">
        <v>167</v>
      </c>
      <c r="D327" s="195">
        <v>2</v>
      </c>
      <c r="E327" s="192">
        <v>1982.96</v>
      </c>
      <c r="F327" s="250">
        <v>1.9962218861269311E-4</v>
      </c>
      <c r="H327" s="401">
        <f t="shared" si="4"/>
        <v>0.98176114529644898</v>
      </c>
    </row>
    <row r="328" spans="1:8" s="227" customFormat="1">
      <c r="A328" s="28" t="s">
        <v>1238</v>
      </c>
      <c r="B328" s="193" t="s">
        <v>227</v>
      </c>
      <c r="C328" s="194" t="s">
        <v>167</v>
      </c>
      <c r="D328" s="195">
        <v>50</v>
      </c>
      <c r="E328" s="192">
        <v>1980.37</v>
      </c>
      <c r="F328" s="250">
        <v>1.9936145644033112E-4</v>
      </c>
      <c r="H328" s="401">
        <f t="shared" si="4"/>
        <v>0.98196050675288926</v>
      </c>
    </row>
    <row r="329" spans="1:8" s="227" customFormat="1" ht="30">
      <c r="A329" s="28" t="s">
        <v>926</v>
      </c>
      <c r="B329" s="193" t="s">
        <v>928</v>
      </c>
      <c r="C329" s="194" t="s">
        <v>167</v>
      </c>
      <c r="D329" s="195">
        <v>51</v>
      </c>
      <c r="E329" s="192">
        <v>1977.54</v>
      </c>
      <c r="F329" s="250">
        <v>1.9907656375778892E-4</v>
      </c>
      <c r="H329" s="401">
        <f t="shared" si="4"/>
        <v>0.9821595833166471</v>
      </c>
    </row>
    <row r="330" spans="1:8" s="227" customFormat="1" ht="30">
      <c r="A330" s="28" t="s">
        <v>329</v>
      </c>
      <c r="B330" s="193" t="s">
        <v>331</v>
      </c>
      <c r="C330" s="194" t="s">
        <v>180</v>
      </c>
      <c r="D330" s="195">
        <v>200</v>
      </c>
      <c r="E330" s="192">
        <v>1969.81</v>
      </c>
      <c r="F330" s="250">
        <v>1.9829839399239973E-4</v>
      </c>
      <c r="H330" s="401">
        <f t="shared" si="4"/>
        <v>0.98235788171063954</v>
      </c>
    </row>
    <row r="331" spans="1:8" s="227" customFormat="1" ht="225">
      <c r="A331" s="28" t="s">
        <v>1028</v>
      </c>
      <c r="B331" s="193" t="s">
        <v>2984</v>
      </c>
      <c r="C331" s="194" t="s">
        <v>167</v>
      </c>
      <c r="D331" s="195">
        <v>1</v>
      </c>
      <c r="E331" s="192">
        <v>1963.89</v>
      </c>
      <c r="F331" s="250">
        <v>1.9770243474128671E-4</v>
      </c>
      <c r="H331" s="401">
        <f t="shared" si="4"/>
        <v>0.9825555841453808</v>
      </c>
    </row>
    <row r="332" spans="1:8" s="227" customFormat="1" ht="240">
      <c r="A332" s="28" t="s">
        <v>2987</v>
      </c>
      <c r="B332" s="193" t="s">
        <v>2988</v>
      </c>
      <c r="C332" s="194" t="s">
        <v>167</v>
      </c>
      <c r="D332" s="195">
        <v>1</v>
      </c>
      <c r="E332" s="192">
        <v>1963.89</v>
      </c>
      <c r="F332" s="250">
        <v>1.9770243474128671E-4</v>
      </c>
      <c r="H332" s="401">
        <f t="shared" si="4"/>
        <v>0.98275328658012207</v>
      </c>
    </row>
    <row r="333" spans="1:8" s="227" customFormat="1">
      <c r="A333" s="28" t="s">
        <v>415</v>
      </c>
      <c r="B333" s="193" t="s">
        <v>416</v>
      </c>
      <c r="C333" s="194" t="s">
        <v>180</v>
      </c>
      <c r="D333" s="195">
        <v>16</v>
      </c>
      <c r="E333" s="192">
        <v>1949.84</v>
      </c>
      <c r="F333" s="250">
        <v>1.9628803820781736E-4</v>
      </c>
      <c r="H333" s="401">
        <f t="shared" si="4"/>
        <v>0.98294957461832988</v>
      </c>
    </row>
    <row r="334" spans="1:8" s="227" customFormat="1">
      <c r="A334" s="28" t="s">
        <v>686</v>
      </c>
      <c r="B334" s="597" t="s">
        <v>687</v>
      </c>
      <c r="C334" s="599" t="s">
        <v>167</v>
      </c>
      <c r="D334" s="195">
        <v>2</v>
      </c>
      <c r="E334" s="192">
        <v>1946.81</v>
      </c>
      <c r="F334" s="250">
        <v>1.9598301176679159E-4</v>
      </c>
      <c r="H334" s="401">
        <f t="shared" si="4"/>
        <v>0.9831455576300967</v>
      </c>
    </row>
    <row r="335" spans="1:8" s="227" customFormat="1">
      <c r="A335" s="28" t="s">
        <v>1072</v>
      </c>
      <c r="B335" s="193" t="s">
        <v>1074</v>
      </c>
      <c r="C335" s="194" t="s">
        <v>167</v>
      </c>
      <c r="D335" s="195">
        <v>3</v>
      </c>
      <c r="E335" s="192">
        <v>1934.92</v>
      </c>
      <c r="F335" s="250">
        <v>1.947860598249446E-4</v>
      </c>
      <c r="H335" s="401">
        <f t="shared" si="4"/>
        <v>0.98334034368992163</v>
      </c>
    </row>
    <row r="336" spans="1:8" s="227" customFormat="1">
      <c r="A336" s="28" t="s">
        <v>796</v>
      </c>
      <c r="B336" s="193" t="s">
        <v>798</v>
      </c>
      <c r="C336" s="194" t="s">
        <v>150</v>
      </c>
      <c r="D336" s="195">
        <v>4.1399999999999997</v>
      </c>
      <c r="E336" s="192">
        <v>1917.41</v>
      </c>
      <c r="F336" s="250">
        <v>1.9302334926970987E-4</v>
      </c>
      <c r="H336" s="401">
        <f t="shared" si="4"/>
        <v>0.98353336703919136</v>
      </c>
    </row>
    <row r="337" spans="1:8" s="227" customFormat="1">
      <c r="A337" s="588" t="s">
        <v>2930</v>
      </c>
      <c r="B337" s="594" t="s">
        <v>2910</v>
      </c>
      <c r="C337" s="504" t="s">
        <v>1932</v>
      </c>
      <c r="D337" s="504">
        <v>4</v>
      </c>
      <c r="E337" s="192">
        <v>1914.42</v>
      </c>
      <c r="F337" s="250">
        <v>1.9272234958038083E-4</v>
      </c>
      <c r="H337" s="401">
        <f t="shared" si="4"/>
        <v>0.98372608938877171</v>
      </c>
    </row>
    <row r="338" spans="1:8" s="227" customFormat="1">
      <c r="A338" s="28" t="s">
        <v>896</v>
      </c>
      <c r="B338" s="193" t="s">
        <v>897</v>
      </c>
      <c r="C338" s="194" t="s">
        <v>167</v>
      </c>
      <c r="D338" s="195">
        <v>176</v>
      </c>
      <c r="E338" s="192">
        <v>1903.94</v>
      </c>
      <c r="F338" s="250">
        <v>1.9166734063584285E-4</v>
      </c>
      <c r="H338" s="401">
        <f t="shared" si="4"/>
        <v>0.98391775672940751</v>
      </c>
    </row>
    <row r="339" spans="1:8" s="227" customFormat="1" ht="30">
      <c r="A339" s="28" t="s">
        <v>668</v>
      </c>
      <c r="B339" s="193" t="s">
        <v>670</v>
      </c>
      <c r="C339" s="194" t="s">
        <v>167</v>
      </c>
      <c r="D339" s="195">
        <v>1</v>
      </c>
      <c r="E339" s="192">
        <v>1885.85</v>
      </c>
      <c r="F339" s="250">
        <v>1.898462421810058E-4</v>
      </c>
      <c r="H339" s="401">
        <f t="shared" si="4"/>
        <v>0.9841076029715885</v>
      </c>
    </row>
    <row r="340" spans="1:8" s="227" customFormat="1" ht="30">
      <c r="A340" s="28" t="s">
        <v>674</v>
      </c>
      <c r="B340" s="193" t="s">
        <v>676</v>
      </c>
      <c r="C340" s="194" t="s">
        <v>167</v>
      </c>
      <c r="D340" s="195">
        <v>1</v>
      </c>
      <c r="E340" s="192">
        <v>1883.26</v>
      </c>
      <c r="F340" s="250">
        <v>1.8958551000864386E-4</v>
      </c>
      <c r="H340" s="401">
        <f t="shared" si="4"/>
        <v>0.9842971884815972</v>
      </c>
    </row>
    <row r="341" spans="1:8" s="227" customFormat="1">
      <c r="A341" s="28" t="s">
        <v>372</v>
      </c>
      <c r="B341" s="193" t="s">
        <v>374</v>
      </c>
      <c r="C341" s="194" t="s">
        <v>180</v>
      </c>
      <c r="D341" s="195">
        <v>50</v>
      </c>
      <c r="E341" s="192">
        <v>1871.07</v>
      </c>
      <c r="F341" s="250">
        <v>1.8835835742907152E-4</v>
      </c>
      <c r="H341" s="401">
        <f t="shared" si="4"/>
        <v>0.98448554683902623</v>
      </c>
    </row>
    <row r="342" spans="1:8" s="227" customFormat="1">
      <c r="A342" s="28" t="s">
        <v>575</v>
      </c>
      <c r="B342" s="193" t="s">
        <v>577</v>
      </c>
      <c r="C342" s="194" t="s">
        <v>167</v>
      </c>
      <c r="D342" s="195">
        <v>26</v>
      </c>
      <c r="E342" s="192">
        <v>1860.31</v>
      </c>
      <c r="F342" s="250">
        <v>1.8727516122265657E-4</v>
      </c>
      <c r="H342" s="401">
        <f t="shared" si="4"/>
        <v>0.98467282200024886</v>
      </c>
    </row>
    <row r="343" spans="1:8" s="227" customFormat="1">
      <c r="A343" s="28" t="s">
        <v>290</v>
      </c>
      <c r="B343" s="193" t="s">
        <v>291</v>
      </c>
      <c r="C343" s="194" t="s">
        <v>167</v>
      </c>
      <c r="D343" s="195">
        <v>13</v>
      </c>
      <c r="E343" s="192">
        <v>1841.29</v>
      </c>
      <c r="F343" s="250">
        <v>1.8536044079087106E-4</v>
      </c>
      <c r="H343" s="401">
        <f t="shared" si="4"/>
        <v>0.98485818244103973</v>
      </c>
    </row>
    <row r="344" spans="1:8" s="227" customFormat="1">
      <c r="A344" s="28" t="s">
        <v>2610</v>
      </c>
      <c r="B344" s="193" t="s">
        <v>2593</v>
      </c>
      <c r="C344" s="194" t="s">
        <v>167</v>
      </c>
      <c r="D344" s="195">
        <v>19</v>
      </c>
      <c r="E344" s="192">
        <v>1824.6</v>
      </c>
      <c r="F344" s="250">
        <v>1.8368027864541886E-4</v>
      </c>
      <c r="H344" s="401">
        <f t="shared" si="4"/>
        <v>0.98504186271968519</v>
      </c>
    </row>
    <row r="345" spans="1:8" s="227" customFormat="1">
      <c r="A345" s="28" t="s">
        <v>630</v>
      </c>
      <c r="B345" s="193" t="s">
        <v>631</v>
      </c>
      <c r="C345" s="194" t="s">
        <v>167</v>
      </c>
      <c r="D345" s="195">
        <v>2</v>
      </c>
      <c r="E345" s="192">
        <v>1802.71</v>
      </c>
      <c r="F345" s="250">
        <v>1.8147663877939445E-4</v>
      </c>
      <c r="H345" s="401">
        <f t="shared" si="4"/>
        <v>0.98522333935846462</v>
      </c>
    </row>
    <row r="346" spans="1:8" s="227" customFormat="1">
      <c r="A346" s="28" t="s">
        <v>2609</v>
      </c>
      <c r="B346" s="193" t="s">
        <v>2591</v>
      </c>
      <c r="C346" s="194" t="s">
        <v>167</v>
      </c>
      <c r="D346" s="195">
        <v>36</v>
      </c>
      <c r="E346" s="192">
        <v>1801.45</v>
      </c>
      <c r="F346" s="250">
        <v>1.8134979610094808E-4</v>
      </c>
      <c r="H346" s="401">
        <f t="shared" si="4"/>
        <v>0.98540468915456558</v>
      </c>
    </row>
    <row r="347" spans="1:8" s="227" customFormat="1">
      <c r="A347" s="28" t="s">
        <v>2651</v>
      </c>
      <c r="B347" s="193" t="s">
        <v>2575</v>
      </c>
      <c r="C347" s="194" t="s">
        <v>167</v>
      </c>
      <c r="D347" s="195">
        <v>180</v>
      </c>
      <c r="E347" s="192">
        <v>1792.95</v>
      </c>
      <c r="F347" s="250">
        <v>1.8049411136539725E-4</v>
      </c>
      <c r="H347" s="401">
        <f t="shared" si="4"/>
        <v>0.98558518326593103</v>
      </c>
    </row>
    <row r="348" spans="1:8" s="227" customFormat="1">
      <c r="A348" s="28" t="s">
        <v>879</v>
      </c>
      <c r="B348" s="193" t="s">
        <v>881</v>
      </c>
      <c r="C348" s="194" t="s">
        <v>167</v>
      </c>
      <c r="D348" s="195">
        <v>279</v>
      </c>
      <c r="E348" s="192">
        <v>1781.1</v>
      </c>
      <c r="F348" s="250">
        <v>1.7930118617524694E-4</v>
      </c>
      <c r="H348" s="401">
        <f t="shared" si="4"/>
        <v>0.98576448445210629</v>
      </c>
    </row>
    <row r="349" spans="1:8" s="227" customFormat="1">
      <c r="A349" s="28" t="s">
        <v>216</v>
      </c>
      <c r="B349" s="193" t="s">
        <v>218</v>
      </c>
      <c r="C349" s="194" t="s">
        <v>180</v>
      </c>
      <c r="D349" s="195">
        <v>29</v>
      </c>
      <c r="E349" s="192">
        <v>1729.22</v>
      </c>
      <c r="F349" s="250">
        <v>1.7407848922461431E-4</v>
      </c>
      <c r="H349" s="401">
        <f t="shared" si="4"/>
        <v>0.98593856294133086</v>
      </c>
    </row>
    <row r="350" spans="1:8" s="227" customFormat="1" ht="45">
      <c r="A350" s="589" t="s">
        <v>1186</v>
      </c>
      <c r="B350" s="595" t="s">
        <v>1188</v>
      </c>
      <c r="C350" s="504" t="s">
        <v>180</v>
      </c>
      <c r="D350" s="600">
        <v>15.6</v>
      </c>
      <c r="E350" s="192">
        <v>1723.72</v>
      </c>
      <c r="F350" s="250">
        <v>1.7352481086631671E-4</v>
      </c>
      <c r="H350" s="401">
        <f t="shared" si="4"/>
        <v>0.98611208775219716</v>
      </c>
    </row>
    <row r="351" spans="1:8" s="227" customFormat="1">
      <c r="A351" s="28" t="s">
        <v>2644</v>
      </c>
      <c r="B351" s="193" t="s">
        <v>2617</v>
      </c>
      <c r="C351" s="599" t="s">
        <v>180</v>
      </c>
      <c r="D351" s="195">
        <v>272</v>
      </c>
      <c r="E351" s="192">
        <v>1709.39</v>
      </c>
      <c r="F351" s="250">
        <v>1.7208222707097039E-4</v>
      </c>
      <c r="H351" s="401">
        <f t="shared" si="4"/>
        <v>0.98628416997926815</v>
      </c>
    </row>
    <row r="352" spans="1:8" s="227" customFormat="1" ht="30">
      <c r="A352" s="28" t="s">
        <v>335</v>
      </c>
      <c r="B352" s="193" t="s">
        <v>337</v>
      </c>
      <c r="C352" s="194" t="s">
        <v>180</v>
      </c>
      <c r="D352" s="195">
        <v>40</v>
      </c>
      <c r="E352" s="192">
        <v>1697.57</v>
      </c>
      <c r="F352" s="250">
        <v>1.7089232194459264E-4</v>
      </c>
      <c r="H352" s="401">
        <f t="shared" si="4"/>
        <v>0.98645506230121272</v>
      </c>
    </row>
    <row r="353" spans="1:8" s="227" customFormat="1">
      <c r="A353" s="28" t="s">
        <v>468</v>
      </c>
      <c r="B353" s="193" t="s">
        <v>470</v>
      </c>
      <c r="C353" s="194" t="s">
        <v>180</v>
      </c>
      <c r="D353" s="195">
        <v>7</v>
      </c>
      <c r="E353" s="192">
        <v>1685.39</v>
      </c>
      <c r="F353" s="250">
        <v>1.6966617605294451E-4</v>
      </c>
      <c r="H353" s="401">
        <f t="shared" si="4"/>
        <v>0.98662472847726568</v>
      </c>
    </row>
    <row r="354" spans="1:8" s="227" customFormat="1">
      <c r="A354" s="28" t="s">
        <v>2680</v>
      </c>
      <c r="B354" s="193" t="s">
        <v>2673</v>
      </c>
      <c r="C354" s="599" t="s">
        <v>180</v>
      </c>
      <c r="D354" s="195">
        <v>170</v>
      </c>
      <c r="E354" s="192">
        <v>1653.23</v>
      </c>
      <c r="F354" s="250">
        <v>1.664286676887898E-4</v>
      </c>
      <c r="H354" s="401">
        <f t="shared" si="4"/>
        <v>0.98679115714495447</v>
      </c>
    </row>
    <row r="355" spans="1:8" s="227" customFormat="1" ht="30">
      <c r="A355" s="28" t="s">
        <v>650</v>
      </c>
      <c r="B355" s="193" t="s">
        <v>652</v>
      </c>
      <c r="C355" s="194" t="s">
        <v>167</v>
      </c>
      <c r="D355" s="195">
        <v>3</v>
      </c>
      <c r="E355" s="192">
        <v>1637.63</v>
      </c>
      <c r="F355" s="250">
        <v>1.6485823452707299E-4</v>
      </c>
      <c r="H355" s="401">
        <f t="shared" si="4"/>
        <v>0.98695601537948152</v>
      </c>
    </row>
    <row r="356" spans="1:8" s="227" customFormat="1">
      <c r="A356" s="28" t="s">
        <v>2657</v>
      </c>
      <c r="B356" s="193" t="s">
        <v>2638</v>
      </c>
      <c r="C356" s="194" t="s">
        <v>167</v>
      </c>
      <c r="D356" s="195">
        <v>410</v>
      </c>
      <c r="E356" s="192">
        <v>1629.5</v>
      </c>
      <c r="F356" s="250">
        <v>1.6403979724471669E-4</v>
      </c>
      <c r="H356" s="401">
        <f t="shared" si="4"/>
        <v>0.98712005517672619</v>
      </c>
    </row>
    <row r="357" spans="1:8" s="227" customFormat="1" ht="14.45" customHeight="1">
      <c r="A357" s="28" t="s">
        <v>2647</v>
      </c>
      <c r="B357" s="193" t="s">
        <v>2623</v>
      </c>
      <c r="C357" s="599" t="s">
        <v>167</v>
      </c>
      <c r="D357" s="195">
        <v>136</v>
      </c>
      <c r="E357" s="192">
        <v>1628.31</v>
      </c>
      <c r="F357" s="250">
        <v>1.6392000138173957E-4</v>
      </c>
      <c r="H357" s="401">
        <f t="shared" si="4"/>
        <v>0.98728397517810795</v>
      </c>
    </row>
    <row r="358" spans="1:8" s="227" customFormat="1">
      <c r="A358" s="28" t="s">
        <v>624</v>
      </c>
      <c r="B358" s="193" t="s">
        <v>626</v>
      </c>
      <c r="C358" s="194" t="s">
        <v>167</v>
      </c>
      <c r="D358" s="195">
        <v>2</v>
      </c>
      <c r="E358" s="192">
        <v>1617.14</v>
      </c>
      <c r="F358" s="250">
        <v>1.6279553097043337E-4</v>
      </c>
      <c r="H358" s="401">
        <f t="shared" si="4"/>
        <v>0.98744677070907838</v>
      </c>
    </row>
    <row r="359" spans="1:8" s="227" customFormat="1">
      <c r="A359" s="28" t="s">
        <v>300</v>
      </c>
      <c r="B359" s="193" t="s">
        <v>301</v>
      </c>
      <c r="C359" s="194" t="s">
        <v>167</v>
      </c>
      <c r="D359" s="195">
        <v>10</v>
      </c>
      <c r="E359" s="192">
        <v>1614.85</v>
      </c>
      <c r="F359" s="250">
        <v>1.6256499943579671E-4</v>
      </c>
      <c r="H359" s="401">
        <f t="shared" si="4"/>
        <v>0.98760933570851417</v>
      </c>
    </row>
    <row r="360" spans="1:8" s="227" customFormat="1" ht="30">
      <c r="A360" s="28" t="s">
        <v>551</v>
      </c>
      <c r="B360" s="193" t="s">
        <v>553</v>
      </c>
      <c r="C360" s="194" t="s">
        <v>167</v>
      </c>
      <c r="D360" s="195">
        <v>2</v>
      </c>
      <c r="E360" s="192">
        <v>1598.71</v>
      </c>
      <c r="F360" s="250">
        <v>1.6094020512617431E-4</v>
      </c>
      <c r="H360" s="401">
        <f t="shared" si="4"/>
        <v>0.98777027591364031</v>
      </c>
    </row>
    <row r="361" spans="1:8" s="227" customFormat="1">
      <c r="A361" s="28" t="s">
        <v>929</v>
      </c>
      <c r="B361" s="193" t="s">
        <v>931</v>
      </c>
      <c r="C361" s="194" t="s">
        <v>167</v>
      </c>
      <c r="D361" s="195">
        <v>244</v>
      </c>
      <c r="E361" s="192">
        <v>1594.03</v>
      </c>
      <c r="F361" s="250">
        <v>1.6046907517765923E-4</v>
      </c>
      <c r="H361" s="401">
        <f t="shared" si="4"/>
        <v>0.98793074498881794</v>
      </c>
    </row>
    <row r="362" spans="1:8" s="227" customFormat="1" ht="25.5">
      <c r="A362" s="587" t="s">
        <v>647</v>
      </c>
      <c r="B362" s="592" t="s">
        <v>649</v>
      </c>
      <c r="C362" s="504" t="s">
        <v>167</v>
      </c>
      <c r="D362" s="504">
        <v>2</v>
      </c>
      <c r="E362" s="192">
        <v>1565.55</v>
      </c>
      <c r="F362" s="250">
        <v>1.5760202796960185E-4</v>
      </c>
      <c r="H362" s="401">
        <f t="shared" si="4"/>
        <v>0.98808834701678749</v>
      </c>
    </row>
    <row r="363" spans="1:8" s="227" customFormat="1">
      <c r="A363" s="28" t="s">
        <v>323</v>
      </c>
      <c r="B363" s="193" t="s">
        <v>325</v>
      </c>
      <c r="C363" s="194" t="s">
        <v>180</v>
      </c>
      <c r="D363" s="195">
        <v>29.25</v>
      </c>
      <c r="E363" s="192">
        <v>1561.76</v>
      </c>
      <c r="F363" s="250">
        <v>1.5722049324633859E-4</v>
      </c>
      <c r="H363" s="401">
        <f t="shared" si="4"/>
        <v>0.98824556751003378</v>
      </c>
    </row>
    <row r="364" spans="1:8" s="227" customFormat="1" ht="14.45" customHeight="1">
      <c r="A364" s="28" t="s">
        <v>304</v>
      </c>
      <c r="B364" s="193" t="s">
        <v>305</v>
      </c>
      <c r="C364" s="194" t="s">
        <v>167</v>
      </c>
      <c r="D364" s="195">
        <v>2</v>
      </c>
      <c r="E364" s="192">
        <v>1561.19</v>
      </c>
      <c r="F364" s="250">
        <v>1.5716311203466048E-4</v>
      </c>
      <c r="H364" s="401">
        <f t="shared" si="4"/>
        <v>0.9884027306220684</v>
      </c>
    </row>
    <row r="365" spans="1:8" s="227" customFormat="1">
      <c r="A365" s="28" t="s">
        <v>2765</v>
      </c>
      <c r="B365" s="193" t="s">
        <v>2703</v>
      </c>
      <c r="C365" s="599" t="s">
        <v>150</v>
      </c>
      <c r="D365" s="195">
        <v>3.78</v>
      </c>
      <c r="E365" s="192">
        <v>1560.68</v>
      </c>
      <c r="F365" s="250">
        <v>1.5711177095052744E-4</v>
      </c>
      <c r="H365" s="401">
        <f t="shared" si="4"/>
        <v>0.98855984239301897</v>
      </c>
    </row>
    <row r="366" spans="1:8" s="227" customFormat="1">
      <c r="A366" s="28" t="s">
        <v>515</v>
      </c>
      <c r="B366" s="193" t="s">
        <v>517</v>
      </c>
      <c r="C366" s="194" t="s">
        <v>167</v>
      </c>
      <c r="D366" s="195">
        <v>2</v>
      </c>
      <c r="E366" s="192">
        <v>1559.36</v>
      </c>
      <c r="F366" s="250">
        <v>1.56978888144536E-4</v>
      </c>
      <c r="H366" s="401">
        <f t="shared" si="4"/>
        <v>0.98871682128116356</v>
      </c>
    </row>
    <row r="367" spans="1:8" s="227" customFormat="1" ht="30">
      <c r="A367" s="28" t="s">
        <v>367</v>
      </c>
      <c r="B367" s="193" t="s">
        <v>369</v>
      </c>
      <c r="C367" s="194" t="s">
        <v>180</v>
      </c>
      <c r="D367" s="195">
        <v>20</v>
      </c>
      <c r="E367" s="192">
        <v>1542.07</v>
      </c>
      <c r="F367" s="250">
        <v>1.5523832472363316E-4</v>
      </c>
      <c r="H367" s="401">
        <f t="shared" si="4"/>
        <v>0.9888720596058872</v>
      </c>
    </row>
    <row r="368" spans="1:8" s="227" customFormat="1">
      <c r="A368" s="28" t="s">
        <v>638</v>
      </c>
      <c r="B368" s="193" t="s">
        <v>640</v>
      </c>
      <c r="C368" s="194" t="s">
        <v>167</v>
      </c>
      <c r="D368" s="195">
        <v>2</v>
      </c>
      <c r="E368" s="192">
        <v>1506.82</v>
      </c>
      <c r="F368" s="250">
        <v>1.5168974979090763E-4</v>
      </c>
      <c r="H368" s="401">
        <f t="shared" si="4"/>
        <v>0.98902374935567816</v>
      </c>
    </row>
    <row r="369" spans="1:8" s="227" customFormat="1">
      <c r="A369" s="28" t="s">
        <v>849</v>
      </c>
      <c r="B369" s="193" t="s">
        <v>851</v>
      </c>
      <c r="C369" s="194" t="s">
        <v>180</v>
      </c>
      <c r="D369" s="195">
        <v>25</v>
      </c>
      <c r="E369" s="192">
        <v>1504.68</v>
      </c>
      <c r="F369" s="250">
        <v>1.5147431857513366E-4</v>
      </c>
      <c r="H369" s="401">
        <f t="shared" si="4"/>
        <v>0.98917522367425326</v>
      </c>
    </row>
    <row r="370" spans="1:8" s="227" customFormat="1" ht="25.5">
      <c r="A370" s="588" t="s">
        <v>2785</v>
      </c>
      <c r="B370" s="505" t="s">
        <v>2726</v>
      </c>
      <c r="C370" s="504" t="s">
        <v>167</v>
      </c>
      <c r="D370" s="504">
        <v>1</v>
      </c>
      <c r="E370" s="192">
        <v>1495.19</v>
      </c>
      <c r="F370" s="250">
        <v>1.5051897173508927E-4</v>
      </c>
      <c r="H370" s="401">
        <f t="shared" si="4"/>
        <v>0.98932574264598838</v>
      </c>
    </row>
    <row r="371" spans="1:8" s="227" customFormat="1">
      <c r="A371" s="28" t="s">
        <v>2931</v>
      </c>
      <c r="B371" s="193" t="s">
        <v>2911</v>
      </c>
      <c r="C371" s="194" t="s">
        <v>1932</v>
      </c>
      <c r="D371" s="195">
        <v>3</v>
      </c>
      <c r="E371" s="192">
        <v>1409.88</v>
      </c>
      <c r="F371" s="250">
        <v>1.4193091705393137E-4</v>
      </c>
      <c r="H371" s="401">
        <f t="shared" si="4"/>
        <v>0.98946767356304233</v>
      </c>
    </row>
    <row r="372" spans="1:8" s="227" customFormat="1" ht="28.9" customHeight="1">
      <c r="A372" s="589" t="s">
        <v>364</v>
      </c>
      <c r="B372" s="593" t="s">
        <v>365</v>
      </c>
      <c r="C372" s="600" t="s">
        <v>180</v>
      </c>
      <c r="D372" s="600">
        <v>30</v>
      </c>
      <c r="E372" s="192">
        <v>1400.23</v>
      </c>
      <c r="F372" s="250">
        <v>1.4095946320710013E-4</v>
      </c>
      <c r="H372" s="401">
        <f t="shared" si="4"/>
        <v>0.98960863302624946</v>
      </c>
    </row>
    <row r="373" spans="1:8" s="227" customFormat="1">
      <c r="A373" s="28" t="s">
        <v>732</v>
      </c>
      <c r="B373" s="193" t="s">
        <v>734</v>
      </c>
      <c r="C373" s="194" t="s">
        <v>167</v>
      </c>
      <c r="D373" s="195">
        <v>1</v>
      </c>
      <c r="E373" s="192">
        <v>1394.08</v>
      </c>
      <c r="F373" s="250">
        <v>1.4034035013373098E-4</v>
      </c>
      <c r="H373" s="401">
        <f t="shared" si="4"/>
        <v>0.98974897337638323</v>
      </c>
    </row>
    <row r="374" spans="1:8" s="227" customFormat="1">
      <c r="A374" s="28" t="s">
        <v>2604</v>
      </c>
      <c r="B374" s="193" t="s">
        <v>2581</v>
      </c>
      <c r="C374" s="194" t="s">
        <v>167</v>
      </c>
      <c r="D374" s="195">
        <v>2</v>
      </c>
      <c r="E374" s="192">
        <v>1390.72</v>
      </c>
      <c r="F374" s="250">
        <v>1.4000210299120735E-4</v>
      </c>
      <c r="H374" s="401">
        <f t="shared" si="4"/>
        <v>0.98988897547937449</v>
      </c>
    </row>
    <row r="375" spans="1:8" s="227" customFormat="1">
      <c r="A375" s="28" t="s">
        <v>2601</v>
      </c>
      <c r="B375" s="193" t="s">
        <v>2575</v>
      </c>
      <c r="C375" s="194" t="s">
        <v>167</v>
      </c>
      <c r="D375" s="195">
        <v>135</v>
      </c>
      <c r="E375" s="192">
        <v>1344.71</v>
      </c>
      <c r="F375" s="250">
        <v>1.3537033185206688E-4</v>
      </c>
      <c r="H375" s="401">
        <f t="shared" si="4"/>
        <v>0.99002434581122656</v>
      </c>
    </row>
    <row r="376" spans="1:8" s="227" customFormat="1" ht="60">
      <c r="A376" s="28" t="s">
        <v>2979</v>
      </c>
      <c r="B376" s="193" t="s">
        <v>2980</v>
      </c>
      <c r="C376" s="194" t="s">
        <v>167</v>
      </c>
      <c r="D376" s="195">
        <v>2</v>
      </c>
      <c r="E376" s="192">
        <v>1339.21</v>
      </c>
      <c r="F376" s="250">
        <v>1.3481665349376928E-4</v>
      </c>
      <c r="H376" s="401">
        <f t="shared" si="4"/>
        <v>0.99015916246472035</v>
      </c>
    </row>
    <row r="377" spans="1:8" s="227" customFormat="1" ht="30">
      <c r="A377" s="28" t="s">
        <v>2900</v>
      </c>
      <c r="B377" s="193" t="s">
        <v>2878</v>
      </c>
      <c r="C377" s="599" t="s">
        <v>2873</v>
      </c>
      <c r="D377" s="195">
        <v>1</v>
      </c>
      <c r="E377" s="192">
        <v>1338.22</v>
      </c>
      <c r="F377" s="250">
        <v>1.3471699138927572E-4</v>
      </c>
      <c r="H377" s="401">
        <f t="shared" si="4"/>
        <v>0.99029387945610958</v>
      </c>
    </row>
    <row r="378" spans="1:8" s="227" customFormat="1">
      <c r="A378" s="28" t="s">
        <v>2850</v>
      </c>
      <c r="B378" s="193" t="s">
        <v>2838</v>
      </c>
      <c r="C378" s="194" t="s">
        <v>2087</v>
      </c>
      <c r="D378" s="195">
        <v>4</v>
      </c>
      <c r="E378" s="192">
        <v>1315.03</v>
      </c>
      <c r="F378" s="250">
        <v>1.3238248209310817E-4</v>
      </c>
      <c r="H378" s="401">
        <f t="shared" si="4"/>
        <v>0.99042626193820271</v>
      </c>
    </row>
    <row r="379" spans="1:8" s="227" customFormat="1">
      <c r="A379" s="28" t="s">
        <v>805</v>
      </c>
      <c r="B379" s="193" t="s">
        <v>807</v>
      </c>
      <c r="C379" s="194" t="s">
        <v>167</v>
      </c>
      <c r="D379" s="195">
        <v>3</v>
      </c>
      <c r="E379" s="192">
        <v>1304.77</v>
      </c>
      <c r="F379" s="250">
        <v>1.3134962028290211E-4</v>
      </c>
      <c r="H379" s="401">
        <f t="shared" si="4"/>
        <v>0.99055761155848565</v>
      </c>
    </row>
    <row r="380" spans="1:8" s="227" customFormat="1">
      <c r="A380" s="28" t="s">
        <v>193</v>
      </c>
      <c r="B380" s="193" t="s">
        <v>194</v>
      </c>
      <c r="C380" s="194" t="s">
        <v>180</v>
      </c>
      <c r="D380" s="195">
        <v>85.8</v>
      </c>
      <c r="E380" s="192">
        <v>1304.3399999999999</v>
      </c>
      <c r="F380" s="250">
        <v>1.3130633270216248E-4</v>
      </c>
      <c r="H380" s="401">
        <f t="shared" si="4"/>
        <v>0.99068891789118785</v>
      </c>
    </row>
    <row r="381" spans="1:8" s="227" customFormat="1">
      <c r="A381" s="28" t="s">
        <v>914</v>
      </c>
      <c r="B381" s="193" t="s">
        <v>916</v>
      </c>
      <c r="C381" s="194" t="s">
        <v>167</v>
      </c>
      <c r="D381" s="195">
        <v>32</v>
      </c>
      <c r="E381" s="192">
        <v>1191.1300000000001</v>
      </c>
      <c r="F381" s="250">
        <v>1.199096187125495E-4</v>
      </c>
      <c r="H381" s="401">
        <f t="shared" si="4"/>
        <v>0.9908088275099004</v>
      </c>
    </row>
    <row r="382" spans="1:8" s="227" customFormat="1" ht="38.25">
      <c r="A382" s="587" t="s">
        <v>2758</v>
      </c>
      <c r="B382" s="593" t="s">
        <v>2694</v>
      </c>
      <c r="C382" s="504" t="s">
        <v>167</v>
      </c>
      <c r="D382" s="504">
        <v>1</v>
      </c>
      <c r="E382" s="192">
        <v>1187.82</v>
      </c>
      <c r="F382" s="250">
        <v>1.1957640500964675E-4</v>
      </c>
      <c r="H382" s="401">
        <f t="shared" si="4"/>
        <v>0.99092840391490999</v>
      </c>
    </row>
    <row r="383" spans="1:8" s="227" customFormat="1">
      <c r="A383" s="28" t="s">
        <v>231</v>
      </c>
      <c r="B383" s="193" t="s">
        <v>233</v>
      </c>
      <c r="C383" s="194" t="s">
        <v>167</v>
      </c>
      <c r="D383" s="195">
        <v>28</v>
      </c>
      <c r="E383" s="192">
        <v>1175.78</v>
      </c>
      <c r="F383" s="250">
        <v>1.1836435274893708E-4</v>
      </c>
      <c r="H383" s="401">
        <f t="shared" si="4"/>
        <v>0.99104676826765892</v>
      </c>
    </row>
    <row r="384" spans="1:8" s="227" customFormat="1" ht="105.6" customHeight="1">
      <c r="A384" s="28" t="s">
        <v>436</v>
      </c>
      <c r="B384" s="193" t="s">
        <v>438</v>
      </c>
      <c r="C384" s="194" t="s">
        <v>167</v>
      </c>
      <c r="D384" s="195">
        <v>28</v>
      </c>
      <c r="E384" s="192">
        <v>1161.57</v>
      </c>
      <c r="F384" s="250">
        <v>1.1693384920868091E-4</v>
      </c>
      <c r="H384" s="401">
        <f t="shared" si="4"/>
        <v>0.99116370211686755</v>
      </c>
    </row>
    <row r="385" spans="1:8" s="227" customFormat="1" ht="25.5">
      <c r="A385" s="587" t="s">
        <v>188</v>
      </c>
      <c r="B385" s="592" t="s">
        <v>190</v>
      </c>
      <c r="C385" s="504" t="s">
        <v>167</v>
      </c>
      <c r="D385" s="504">
        <v>9</v>
      </c>
      <c r="E385" s="192">
        <v>1154.8</v>
      </c>
      <c r="F385" s="250">
        <v>1.1625232148401278E-4</v>
      </c>
      <c r="H385" s="401">
        <f t="shared" ref="H385:H448" si="5">H384+F385</f>
        <v>0.9912799544383516</v>
      </c>
    </row>
    <row r="386" spans="1:8" s="227" customFormat="1" ht="105.6" customHeight="1">
      <c r="A386" s="28" t="s">
        <v>641</v>
      </c>
      <c r="B386" s="193" t="s">
        <v>643</v>
      </c>
      <c r="C386" s="194" t="s">
        <v>167</v>
      </c>
      <c r="D386" s="195">
        <v>3</v>
      </c>
      <c r="E386" s="192">
        <v>1145.74</v>
      </c>
      <c r="F386" s="250">
        <v>1.1534026222470802E-4</v>
      </c>
      <c r="H386" s="401">
        <f t="shared" si="5"/>
        <v>0.9913952947005763</v>
      </c>
    </row>
    <row r="387" spans="1:8" s="227" customFormat="1">
      <c r="A387" s="28" t="s">
        <v>1064</v>
      </c>
      <c r="B387" s="193" t="s">
        <v>1066</v>
      </c>
      <c r="C387" s="194" t="s">
        <v>167</v>
      </c>
      <c r="D387" s="195">
        <v>3</v>
      </c>
      <c r="E387" s="192">
        <v>1134.8599999999999</v>
      </c>
      <c r="F387" s="250">
        <v>1.1424498576320293E-4</v>
      </c>
      <c r="H387" s="401">
        <f t="shared" si="5"/>
        <v>0.99150953968633948</v>
      </c>
    </row>
    <row r="388" spans="1:8" s="227" customFormat="1">
      <c r="A388" s="28" t="s">
        <v>596</v>
      </c>
      <c r="B388" s="193" t="s">
        <v>598</v>
      </c>
      <c r="C388" s="194" t="s">
        <v>167</v>
      </c>
      <c r="D388" s="195">
        <v>88</v>
      </c>
      <c r="E388" s="192">
        <v>1129.6400000000001</v>
      </c>
      <c r="F388" s="250">
        <v>1.1371949466678231E-4</v>
      </c>
      <c r="H388" s="401">
        <f t="shared" si="5"/>
        <v>0.99162325918100624</v>
      </c>
    </row>
    <row r="389" spans="1:8" s="227" customFormat="1">
      <c r="A389" s="28" t="s">
        <v>347</v>
      </c>
      <c r="B389" s="193" t="s">
        <v>349</v>
      </c>
      <c r="C389" s="194" t="s">
        <v>163</v>
      </c>
      <c r="D389" s="195">
        <v>12</v>
      </c>
      <c r="E389" s="192">
        <v>1123.02</v>
      </c>
      <c r="F389" s="250">
        <v>1.1305306726097682E-4</v>
      </c>
      <c r="H389" s="401">
        <f t="shared" si="5"/>
        <v>0.99173631224826719</v>
      </c>
    </row>
    <row r="390" spans="1:8" s="227" customFormat="1">
      <c r="A390" s="28" t="s">
        <v>200</v>
      </c>
      <c r="B390" s="193" t="s">
        <v>202</v>
      </c>
      <c r="C390" s="194" t="s">
        <v>167</v>
      </c>
      <c r="D390" s="195">
        <v>20</v>
      </c>
      <c r="E390" s="192">
        <v>1112.3399999999999</v>
      </c>
      <c r="F390" s="250">
        <v>1.1197792455795529E-4</v>
      </c>
      <c r="H390" s="401">
        <f t="shared" si="5"/>
        <v>0.99184829017282516</v>
      </c>
    </row>
    <row r="391" spans="1:8" s="227" customFormat="1">
      <c r="A391" s="588" t="s">
        <v>1894</v>
      </c>
      <c r="B391" s="505" t="s">
        <v>2613</v>
      </c>
      <c r="C391" s="504" t="s">
        <v>180</v>
      </c>
      <c r="D391" s="504">
        <v>45.33</v>
      </c>
      <c r="E391" s="192">
        <v>1090.53</v>
      </c>
      <c r="F391" s="250">
        <v>1.0978233819532426E-4</v>
      </c>
      <c r="H391" s="401">
        <f t="shared" si="5"/>
        <v>0.99195807251102053</v>
      </c>
    </row>
    <row r="392" spans="1:8" s="227" customFormat="1">
      <c r="A392" s="28" t="s">
        <v>1239</v>
      </c>
      <c r="B392" s="193" t="s">
        <v>230</v>
      </c>
      <c r="C392" s="194" t="s">
        <v>167</v>
      </c>
      <c r="D392" s="195">
        <v>27</v>
      </c>
      <c r="E392" s="192">
        <v>1069.4000000000001</v>
      </c>
      <c r="F392" s="250">
        <v>1.0765520661153731E-4</v>
      </c>
      <c r="H392" s="401">
        <f t="shared" si="5"/>
        <v>0.99206572771763202</v>
      </c>
    </row>
    <row r="393" spans="1:8" s="227" customFormat="1">
      <c r="A393" s="28" t="s">
        <v>378</v>
      </c>
      <c r="B393" s="193" t="s">
        <v>379</v>
      </c>
      <c r="C393" s="194" t="s">
        <v>180</v>
      </c>
      <c r="D393" s="195">
        <v>120</v>
      </c>
      <c r="E393" s="192">
        <v>1050.73</v>
      </c>
      <c r="F393" s="250">
        <v>1.0577572025709799E-4</v>
      </c>
      <c r="H393" s="401">
        <f t="shared" si="5"/>
        <v>0.99217150343788907</v>
      </c>
    </row>
    <row r="394" spans="1:8" s="227" customFormat="1">
      <c r="A394" s="28" t="s">
        <v>700</v>
      </c>
      <c r="B394" s="193" t="s">
        <v>702</v>
      </c>
      <c r="C394" s="194" t="s">
        <v>167</v>
      </c>
      <c r="D394" s="195">
        <v>10</v>
      </c>
      <c r="E394" s="192">
        <v>1043.44</v>
      </c>
      <c r="F394" s="250">
        <v>1.0504184476037263E-4</v>
      </c>
      <c r="H394" s="401">
        <f t="shared" si="5"/>
        <v>0.99227654528264941</v>
      </c>
    </row>
    <row r="395" spans="1:8" s="227" customFormat="1">
      <c r="A395" s="588" t="s">
        <v>2658</v>
      </c>
      <c r="B395" s="594" t="s">
        <v>2640</v>
      </c>
      <c r="C395" s="504" t="s">
        <v>167</v>
      </c>
      <c r="D395" s="504">
        <v>265</v>
      </c>
      <c r="E395" s="192">
        <v>1040.05</v>
      </c>
      <c r="F395" s="250">
        <v>1.0470057755407646E-4</v>
      </c>
      <c r="H395" s="401">
        <f t="shared" si="5"/>
        <v>0.99238124586020349</v>
      </c>
    </row>
    <row r="396" spans="1:8" s="227" customFormat="1">
      <c r="A396" s="28" t="s">
        <v>2678</v>
      </c>
      <c r="B396" s="193" t="s">
        <v>1386</v>
      </c>
      <c r="C396" s="599" t="s">
        <v>180</v>
      </c>
      <c r="D396" s="195">
        <v>40</v>
      </c>
      <c r="E396" s="192">
        <v>1011.48</v>
      </c>
      <c r="F396" s="250">
        <v>1.0182447015470147E-4</v>
      </c>
      <c r="H396" s="401">
        <f t="shared" si="5"/>
        <v>0.99248307033035821</v>
      </c>
    </row>
    <row r="397" spans="1:8" s="227" customFormat="1">
      <c r="A397" s="28" t="s">
        <v>563</v>
      </c>
      <c r="B397" s="193" t="s">
        <v>565</v>
      </c>
      <c r="C397" s="194" t="s">
        <v>167</v>
      </c>
      <c r="D397" s="195">
        <v>6</v>
      </c>
      <c r="E397" s="192">
        <v>1001.87</v>
      </c>
      <c r="F397" s="250">
        <v>1.0085704305956693E-4</v>
      </c>
      <c r="H397" s="401">
        <f t="shared" si="5"/>
        <v>0.99258392737341783</v>
      </c>
    </row>
    <row r="398" spans="1:8" s="227" customFormat="1">
      <c r="A398" s="28" t="s">
        <v>186</v>
      </c>
      <c r="B398" s="193" t="s">
        <v>187</v>
      </c>
      <c r="C398" s="194" t="s">
        <v>167</v>
      </c>
      <c r="D398" s="195">
        <v>28</v>
      </c>
      <c r="E398" s="192">
        <v>982.77</v>
      </c>
      <c r="F398" s="250">
        <v>9.8934269124387989E-5</v>
      </c>
      <c r="H398" s="401">
        <f t="shared" si="5"/>
        <v>0.99268286164254227</v>
      </c>
    </row>
    <row r="399" spans="1:8" s="227" customFormat="1" ht="115.15" customHeight="1">
      <c r="A399" s="589" t="s">
        <v>945</v>
      </c>
      <c r="B399" s="593" t="s">
        <v>946</v>
      </c>
      <c r="C399" s="504" t="s">
        <v>167</v>
      </c>
      <c r="D399" s="600">
        <v>7</v>
      </c>
      <c r="E399" s="192">
        <v>968.16</v>
      </c>
      <c r="F399" s="250">
        <v>9.7463498067164713E-5</v>
      </c>
      <c r="H399" s="401">
        <f t="shared" si="5"/>
        <v>0.99278032514060943</v>
      </c>
    </row>
    <row r="400" spans="1:8" s="227" customFormat="1" ht="25.5">
      <c r="A400" s="588" t="s">
        <v>2788</v>
      </c>
      <c r="B400" s="505" t="s">
        <v>2730</v>
      </c>
      <c r="C400" s="504" t="s">
        <v>167</v>
      </c>
      <c r="D400" s="504">
        <v>2</v>
      </c>
      <c r="E400" s="192">
        <v>964.71</v>
      </c>
      <c r="F400" s="250">
        <v>9.71161907333235E-5</v>
      </c>
      <c r="H400" s="401">
        <f t="shared" si="5"/>
        <v>0.9928774413313427</v>
      </c>
    </row>
    <row r="401" spans="1:8" s="227" customFormat="1" ht="30">
      <c r="A401" s="28" t="s">
        <v>656</v>
      </c>
      <c r="B401" s="193" t="s">
        <v>658</v>
      </c>
      <c r="C401" s="194" t="s">
        <v>167</v>
      </c>
      <c r="D401" s="195">
        <v>2</v>
      </c>
      <c r="E401" s="192">
        <v>964.01</v>
      </c>
      <c r="F401" s="250">
        <v>9.7045722578631075E-5</v>
      </c>
      <c r="H401" s="401">
        <f t="shared" si="5"/>
        <v>0.99297448705392133</v>
      </c>
    </row>
    <row r="402" spans="1:8" s="227" customFormat="1" ht="30">
      <c r="A402" s="28" t="s">
        <v>1091</v>
      </c>
      <c r="B402" s="193" t="s">
        <v>1093</v>
      </c>
      <c r="C402" s="194" t="s">
        <v>167</v>
      </c>
      <c r="D402" s="195">
        <v>12</v>
      </c>
      <c r="E402" s="192">
        <v>962.34</v>
      </c>
      <c r="F402" s="250">
        <v>9.6877605695293442E-5</v>
      </c>
      <c r="H402" s="401">
        <f t="shared" si="5"/>
        <v>0.99307136465961665</v>
      </c>
    </row>
    <row r="403" spans="1:8" s="227" customFormat="1">
      <c r="A403" s="28" t="s">
        <v>361</v>
      </c>
      <c r="B403" s="193" t="s">
        <v>363</v>
      </c>
      <c r="C403" s="194" t="s">
        <v>180</v>
      </c>
      <c r="D403" s="195">
        <v>30</v>
      </c>
      <c r="E403" s="192">
        <v>952.37</v>
      </c>
      <c r="F403" s="250">
        <v>9.5873937834888519E-5</v>
      </c>
      <c r="H403" s="401">
        <f t="shared" si="5"/>
        <v>0.99316723859745148</v>
      </c>
    </row>
    <row r="404" spans="1:8" s="227" customFormat="1">
      <c r="A404" s="28" t="s">
        <v>587</v>
      </c>
      <c r="B404" s="193" t="s">
        <v>589</v>
      </c>
      <c r="C404" s="194" t="s">
        <v>167</v>
      </c>
      <c r="D404" s="195">
        <v>64</v>
      </c>
      <c r="E404" s="192">
        <v>950.81</v>
      </c>
      <c r="F404" s="250">
        <v>9.5716894518716819E-5</v>
      </c>
      <c r="H404" s="401">
        <f t="shared" si="5"/>
        <v>0.99326295549197019</v>
      </c>
    </row>
    <row r="405" spans="1:8" s="227" customFormat="1">
      <c r="A405" s="28" t="s">
        <v>433</v>
      </c>
      <c r="B405" s="193" t="s">
        <v>435</v>
      </c>
      <c r="C405" s="194" t="s">
        <v>167</v>
      </c>
      <c r="D405" s="195">
        <v>28</v>
      </c>
      <c r="E405" s="192">
        <v>913.67</v>
      </c>
      <c r="F405" s="250">
        <v>9.1978055568321746E-5</v>
      </c>
      <c r="H405" s="401">
        <f t="shared" si="5"/>
        <v>0.99335493354753857</v>
      </c>
    </row>
    <row r="406" spans="1:8" s="227" customFormat="1">
      <c r="A406" s="28" t="s">
        <v>870</v>
      </c>
      <c r="B406" s="193" t="s">
        <v>871</v>
      </c>
      <c r="C406" s="194" t="s">
        <v>872</v>
      </c>
      <c r="D406" s="195">
        <v>22</v>
      </c>
      <c r="E406" s="192">
        <v>898.69</v>
      </c>
      <c r="F406" s="250">
        <v>9.0470037057903925E-5</v>
      </c>
      <c r="H406" s="401">
        <f t="shared" si="5"/>
        <v>0.99344540358459643</v>
      </c>
    </row>
    <row r="407" spans="1:8" s="227" customFormat="1">
      <c r="A407" s="28" t="s">
        <v>683</v>
      </c>
      <c r="B407" s="193" t="s">
        <v>685</v>
      </c>
      <c r="C407" s="194" t="s">
        <v>167</v>
      </c>
      <c r="D407" s="195">
        <v>2</v>
      </c>
      <c r="E407" s="192">
        <v>897.16</v>
      </c>
      <c r="F407" s="250">
        <v>9.0316013805504775E-5</v>
      </c>
      <c r="H407" s="401">
        <f t="shared" si="5"/>
        <v>0.99353571959840192</v>
      </c>
    </row>
    <row r="408" spans="1:8" s="227" customFormat="1">
      <c r="A408" s="28" t="s">
        <v>2598</v>
      </c>
      <c r="B408" s="193" t="s">
        <v>2569</v>
      </c>
      <c r="C408" s="194" t="s">
        <v>167</v>
      </c>
      <c r="D408" s="195">
        <v>2</v>
      </c>
      <c r="E408" s="192">
        <v>896.97</v>
      </c>
      <c r="F408" s="250">
        <v>9.0296886734945404E-5</v>
      </c>
      <c r="H408" s="401">
        <f t="shared" si="5"/>
        <v>0.99362601648513682</v>
      </c>
    </row>
    <row r="409" spans="1:8" s="227" customFormat="1">
      <c r="A409" s="28" t="s">
        <v>750</v>
      </c>
      <c r="B409" s="193" t="s">
        <v>752</v>
      </c>
      <c r="C409" s="194" t="s">
        <v>180</v>
      </c>
      <c r="D409" s="195">
        <v>2310</v>
      </c>
      <c r="E409" s="192">
        <v>889.4</v>
      </c>
      <c r="F409" s="250">
        <v>8.9534823976343062E-5</v>
      </c>
      <c r="H409" s="401">
        <f t="shared" si="5"/>
        <v>0.99371555130911315</v>
      </c>
    </row>
    <row r="410" spans="1:8" s="227" customFormat="1">
      <c r="A410" s="28" t="s">
        <v>164</v>
      </c>
      <c r="B410" s="193" t="s">
        <v>166</v>
      </c>
      <c r="C410" s="194" t="s">
        <v>167</v>
      </c>
      <c r="D410" s="195">
        <v>45</v>
      </c>
      <c r="E410" s="192">
        <v>883.06</v>
      </c>
      <c r="F410" s="250">
        <v>8.8896583832414553E-5</v>
      </c>
      <c r="H410" s="401">
        <f t="shared" si="5"/>
        <v>0.99380444789294553</v>
      </c>
    </row>
    <row r="411" spans="1:8" s="227" customFormat="1">
      <c r="A411" s="28" t="s">
        <v>2891</v>
      </c>
      <c r="B411" s="193" t="s">
        <v>2864</v>
      </c>
      <c r="C411" s="599" t="s">
        <v>2249</v>
      </c>
      <c r="D411" s="195">
        <v>0.94399999999999995</v>
      </c>
      <c r="E411" s="192">
        <v>877.33</v>
      </c>
      <c r="F411" s="250">
        <v>8.8319751651860876E-5</v>
      </c>
      <c r="H411" s="401">
        <f t="shared" si="5"/>
        <v>0.99389276764459744</v>
      </c>
    </row>
    <row r="412" spans="1:8" s="227" customFormat="1">
      <c r="A412" s="28" t="s">
        <v>294</v>
      </c>
      <c r="B412" s="193" t="s">
        <v>295</v>
      </c>
      <c r="C412" s="194" t="s">
        <v>167</v>
      </c>
      <c r="D412" s="195">
        <v>4</v>
      </c>
      <c r="E412" s="192">
        <v>874.57</v>
      </c>
      <c r="F412" s="250">
        <v>8.8041905784787906E-5</v>
      </c>
      <c r="H412" s="401">
        <f t="shared" si="5"/>
        <v>0.99398080955038226</v>
      </c>
    </row>
    <row r="413" spans="1:8" s="227" customFormat="1" ht="14.45" customHeight="1">
      <c r="A413" s="28" t="s">
        <v>1061</v>
      </c>
      <c r="B413" s="193" t="s">
        <v>1063</v>
      </c>
      <c r="C413" s="599" t="s">
        <v>167</v>
      </c>
      <c r="D413" s="195">
        <v>2</v>
      </c>
      <c r="E413" s="192">
        <v>870.07</v>
      </c>
      <c r="F413" s="250">
        <v>8.7588896218908049E-5</v>
      </c>
      <c r="H413" s="401">
        <f t="shared" si="5"/>
        <v>0.99406839844660122</v>
      </c>
    </row>
    <row r="414" spans="1:8" s="227" customFormat="1">
      <c r="A414" s="28" t="s">
        <v>1007</v>
      </c>
      <c r="B414" s="193" t="s">
        <v>1009</v>
      </c>
      <c r="C414" s="194" t="s">
        <v>167</v>
      </c>
      <c r="D414" s="195">
        <v>18</v>
      </c>
      <c r="E414" s="192">
        <v>867.86</v>
      </c>
      <c r="F414" s="250">
        <v>8.7366418187664825E-5</v>
      </c>
      <c r="H414" s="401">
        <f t="shared" si="5"/>
        <v>0.99415576486478885</v>
      </c>
    </row>
    <row r="415" spans="1:8" s="227" customFormat="1">
      <c r="A415" s="28" t="s">
        <v>894</v>
      </c>
      <c r="B415" s="193" t="s">
        <v>895</v>
      </c>
      <c r="C415" s="194" t="s">
        <v>167</v>
      </c>
      <c r="D415" s="195">
        <v>49</v>
      </c>
      <c r="E415" s="192">
        <v>858.71</v>
      </c>
      <c r="F415" s="250">
        <v>8.6445298737042458E-5</v>
      </c>
      <c r="H415" s="401">
        <f t="shared" si="5"/>
        <v>0.99424221016352587</v>
      </c>
    </row>
    <row r="416" spans="1:8" s="227" customFormat="1" ht="30">
      <c r="A416" s="28" t="s">
        <v>557</v>
      </c>
      <c r="B416" s="193" t="s">
        <v>559</v>
      </c>
      <c r="C416" s="194" t="s">
        <v>167</v>
      </c>
      <c r="D416" s="195">
        <v>2</v>
      </c>
      <c r="E416" s="192">
        <v>842.9</v>
      </c>
      <c r="F416" s="250">
        <v>8.4853725128917885E-5</v>
      </c>
      <c r="H416" s="401">
        <f t="shared" si="5"/>
        <v>0.99432706388865477</v>
      </c>
    </row>
    <row r="417" spans="1:8" s="227" customFormat="1">
      <c r="A417" s="28" t="s">
        <v>892</v>
      </c>
      <c r="B417" s="193" t="s">
        <v>893</v>
      </c>
      <c r="C417" s="599" t="s">
        <v>872</v>
      </c>
      <c r="D417" s="195">
        <v>22</v>
      </c>
      <c r="E417" s="192">
        <v>833.66</v>
      </c>
      <c r="F417" s="250">
        <v>8.392354548697791E-5</v>
      </c>
      <c r="H417" s="401">
        <f t="shared" si="5"/>
        <v>0.9944109874341418</v>
      </c>
    </row>
    <row r="418" spans="1:8" s="227" customFormat="1" ht="28.9" customHeight="1">
      <c r="A418" s="28" t="s">
        <v>545</v>
      </c>
      <c r="B418" s="193" t="s">
        <v>547</v>
      </c>
      <c r="C418" s="194" t="s">
        <v>167</v>
      </c>
      <c r="D418" s="195">
        <v>2</v>
      </c>
      <c r="E418" s="192">
        <v>833.49</v>
      </c>
      <c r="F418" s="250">
        <v>8.3906431792266905E-5</v>
      </c>
      <c r="H418" s="401">
        <f t="shared" si="5"/>
        <v>0.99449489386593404</v>
      </c>
    </row>
    <row r="419" spans="1:8" s="227" customFormat="1">
      <c r="A419" s="28" t="s">
        <v>659</v>
      </c>
      <c r="B419" s="193" t="s">
        <v>661</v>
      </c>
      <c r="C419" s="194" t="s">
        <v>167</v>
      </c>
      <c r="D419" s="195">
        <v>2</v>
      </c>
      <c r="E419" s="192">
        <v>829.76</v>
      </c>
      <c r="F419" s="250">
        <v>8.3530937196548701E-5</v>
      </c>
      <c r="H419" s="401">
        <f t="shared" si="5"/>
        <v>0.99457842480313063</v>
      </c>
    </row>
    <row r="420" spans="1:8" s="227" customFormat="1">
      <c r="A420" s="28" t="s">
        <v>876</v>
      </c>
      <c r="B420" s="193" t="s">
        <v>878</v>
      </c>
      <c r="C420" s="194" t="s">
        <v>167</v>
      </c>
      <c r="D420" s="195">
        <v>114</v>
      </c>
      <c r="E420" s="192">
        <v>829.71</v>
      </c>
      <c r="F420" s="250">
        <v>8.3525903756927826E-5</v>
      </c>
      <c r="H420" s="401">
        <f t="shared" si="5"/>
        <v>0.99466195070688757</v>
      </c>
    </row>
    <row r="421" spans="1:8" s="227" customFormat="1">
      <c r="A421" s="28" t="s">
        <v>593</v>
      </c>
      <c r="B421" s="193" t="s">
        <v>595</v>
      </c>
      <c r="C421" s="194" t="s">
        <v>167</v>
      </c>
      <c r="D421" s="195">
        <v>64</v>
      </c>
      <c r="E421" s="192">
        <v>821.56</v>
      </c>
      <c r="F421" s="250">
        <v>8.2705453098723189E-5</v>
      </c>
      <c r="H421" s="401">
        <f t="shared" si="5"/>
        <v>0.99474465615998631</v>
      </c>
    </row>
    <row r="422" spans="1:8" s="227" customFormat="1" ht="45">
      <c r="A422" s="28" t="s">
        <v>2778</v>
      </c>
      <c r="B422" s="193" t="s">
        <v>2718</v>
      </c>
      <c r="C422" s="194" t="s">
        <v>163</v>
      </c>
      <c r="D422" s="195">
        <v>1</v>
      </c>
      <c r="E422" s="192">
        <v>816.39</v>
      </c>
      <c r="F422" s="250">
        <v>8.2184995441923441E-5</v>
      </c>
      <c r="H422" s="401">
        <f t="shared" si="5"/>
        <v>0.99482684115542819</v>
      </c>
    </row>
    <row r="423" spans="1:8" s="227" customFormat="1">
      <c r="A423" s="28" t="s">
        <v>430</v>
      </c>
      <c r="B423" s="193" t="s">
        <v>432</v>
      </c>
      <c r="C423" s="194" t="s">
        <v>180</v>
      </c>
      <c r="D423" s="195">
        <v>12</v>
      </c>
      <c r="E423" s="192">
        <v>811.94</v>
      </c>
      <c r="F423" s="250">
        <v>8.1737019315664486E-5</v>
      </c>
      <c r="H423" s="401">
        <f t="shared" si="5"/>
        <v>0.99490857817474387</v>
      </c>
    </row>
    <row r="424" spans="1:8" s="227" customFormat="1">
      <c r="A424" s="28" t="s">
        <v>902</v>
      </c>
      <c r="B424" s="193" t="s">
        <v>903</v>
      </c>
      <c r="C424" s="194" t="s">
        <v>167</v>
      </c>
      <c r="D424" s="195">
        <v>49</v>
      </c>
      <c r="E424" s="192">
        <v>805.76</v>
      </c>
      <c r="F424" s="250">
        <v>8.1114886178522812E-5</v>
      </c>
      <c r="H424" s="401">
        <f t="shared" si="5"/>
        <v>0.99498969306092244</v>
      </c>
    </row>
    <row r="425" spans="1:8" s="227" customFormat="1" ht="30">
      <c r="A425" s="28" t="s">
        <v>506</v>
      </c>
      <c r="B425" s="193" t="s">
        <v>508</v>
      </c>
      <c r="C425" s="194" t="s">
        <v>167</v>
      </c>
      <c r="D425" s="195">
        <v>4</v>
      </c>
      <c r="E425" s="192">
        <v>799.74</v>
      </c>
      <c r="F425" s="250">
        <v>8.0508860048167987E-5</v>
      </c>
      <c r="H425" s="401">
        <f t="shared" si="5"/>
        <v>0.99507020192097062</v>
      </c>
    </row>
    <row r="426" spans="1:8" s="227" customFormat="1">
      <c r="A426" s="28" t="s">
        <v>993</v>
      </c>
      <c r="B426" s="193" t="s">
        <v>995</v>
      </c>
      <c r="C426" s="194" t="s">
        <v>167</v>
      </c>
      <c r="D426" s="195">
        <v>8</v>
      </c>
      <c r="E426" s="192">
        <v>757.62</v>
      </c>
      <c r="F426" s="250">
        <v>7.6268690511532538E-5</v>
      </c>
      <c r="H426" s="401">
        <f t="shared" si="5"/>
        <v>0.9951464706114822</v>
      </c>
    </row>
    <row r="427" spans="1:8" s="227" customFormat="1">
      <c r="A427" s="28" t="s">
        <v>584</v>
      </c>
      <c r="B427" s="193" t="s">
        <v>586</v>
      </c>
      <c r="C427" s="194" t="s">
        <v>167</v>
      </c>
      <c r="D427" s="195">
        <v>48</v>
      </c>
      <c r="E427" s="192">
        <v>756.49</v>
      </c>
      <c r="F427" s="250">
        <v>7.6154934776100482E-5</v>
      </c>
      <c r="H427" s="401">
        <f t="shared" si="5"/>
        <v>0.99522262554625829</v>
      </c>
    </row>
    <row r="428" spans="1:8" s="227" customFormat="1">
      <c r="A428" s="28" t="s">
        <v>2656</v>
      </c>
      <c r="B428" s="193" t="s">
        <v>2636</v>
      </c>
      <c r="C428" s="194" t="s">
        <v>167</v>
      </c>
      <c r="D428" s="195">
        <v>4</v>
      </c>
      <c r="E428" s="192">
        <v>744.65</v>
      </c>
      <c r="F428" s="250">
        <v>7.4963016273874372E-5</v>
      </c>
      <c r="H428" s="401">
        <f t="shared" si="5"/>
        <v>0.99529758856253214</v>
      </c>
    </row>
    <row r="429" spans="1:8" s="227" customFormat="1">
      <c r="A429" s="28" t="s">
        <v>572</v>
      </c>
      <c r="B429" s="193" t="s">
        <v>574</v>
      </c>
      <c r="C429" s="194" t="s">
        <v>167</v>
      </c>
      <c r="D429" s="195">
        <v>8</v>
      </c>
      <c r="E429" s="192">
        <v>740.81</v>
      </c>
      <c r="F429" s="250">
        <v>7.4576448110990221E-5</v>
      </c>
      <c r="H429" s="401">
        <f t="shared" si="5"/>
        <v>0.99537216501064318</v>
      </c>
    </row>
    <row r="430" spans="1:8" s="227" customFormat="1" ht="60">
      <c r="A430" s="28" t="s">
        <v>2975</v>
      </c>
      <c r="B430" s="193" t="s">
        <v>2976</v>
      </c>
      <c r="C430" s="194" t="s">
        <v>167</v>
      </c>
      <c r="D430" s="195">
        <v>3</v>
      </c>
      <c r="E430" s="192">
        <v>735.08</v>
      </c>
      <c r="F430" s="250">
        <v>7.3999615930436544E-5</v>
      </c>
      <c r="H430" s="401">
        <f t="shared" si="5"/>
        <v>0.99544616462657365</v>
      </c>
    </row>
    <row r="431" spans="1:8" s="227" customFormat="1">
      <c r="A431" s="28" t="s">
        <v>632</v>
      </c>
      <c r="B431" s="193" t="s">
        <v>634</v>
      </c>
      <c r="C431" s="194" t="s">
        <v>167</v>
      </c>
      <c r="D431" s="195">
        <v>1</v>
      </c>
      <c r="E431" s="192">
        <v>721.82</v>
      </c>
      <c r="F431" s="250">
        <v>7.2664747742977244E-5</v>
      </c>
      <c r="H431" s="401">
        <f t="shared" si="5"/>
        <v>0.99551882937431657</v>
      </c>
    </row>
    <row r="432" spans="1:8" s="227" customFormat="1">
      <c r="A432" s="28" t="s">
        <v>296</v>
      </c>
      <c r="B432" s="193" t="s">
        <v>297</v>
      </c>
      <c r="C432" s="194" t="s">
        <v>167</v>
      </c>
      <c r="D432" s="195">
        <v>6</v>
      </c>
      <c r="E432" s="192">
        <v>703.1</v>
      </c>
      <c r="F432" s="250">
        <v>7.0780227948917036E-5</v>
      </c>
      <c r="H432" s="401">
        <f t="shared" si="5"/>
        <v>0.9955896096022655</v>
      </c>
    </row>
    <row r="433" spans="1:8" s="227" customFormat="1">
      <c r="A433" s="28" t="s">
        <v>422</v>
      </c>
      <c r="B433" s="193" t="s">
        <v>423</v>
      </c>
      <c r="C433" s="194" t="s">
        <v>167</v>
      </c>
      <c r="D433" s="195">
        <v>16</v>
      </c>
      <c r="E433" s="192">
        <v>693.14</v>
      </c>
      <c r="F433" s="250">
        <v>6.9777566776436283E-5</v>
      </c>
      <c r="H433" s="401">
        <f t="shared" si="5"/>
        <v>0.9956593871690419</v>
      </c>
    </row>
    <row r="434" spans="1:8" s="227" customFormat="1" ht="30">
      <c r="A434" s="28" t="s">
        <v>739</v>
      </c>
      <c r="B434" s="193" t="s">
        <v>741</v>
      </c>
      <c r="C434" s="194" t="s">
        <v>163</v>
      </c>
      <c r="D434" s="195">
        <v>1</v>
      </c>
      <c r="E434" s="192">
        <v>692.32</v>
      </c>
      <c r="F434" s="250">
        <v>6.9695018366653741E-5</v>
      </c>
      <c r="H434" s="401">
        <f t="shared" si="5"/>
        <v>0.99572908218740852</v>
      </c>
    </row>
    <row r="435" spans="1:8" s="227" customFormat="1">
      <c r="A435" s="28" t="s">
        <v>602</v>
      </c>
      <c r="B435" s="193" t="s">
        <v>604</v>
      </c>
      <c r="C435" s="194" t="s">
        <v>167</v>
      </c>
      <c r="D435" s="195">
        <v>4</v>
      </c>
      <c r="E435" s="192">
        <v>686.26</v>
      </c>
      <c r="F435" s="250">
        <v>6.9084965484602197E-5</v>
      </c>
      <c r="H435" s="401">
        <f t="shared" si="5"/>
        <v>0.99579816715289315</v>
      </c>
    </row>
    <row r="436" spans="1:8" s="227" customFormat="1">
      <c r="A436" s="28" t="s">
        <v>2605</v>
      </c>
      <c r="B436" s="193" t="s">
        <v>2583</v>
      </c>
      <c r="C436" s="194" t="s">
        <v>180</v>
      </c>
      <c r="D436" s="195">
        <v>30</v>
      </c>
      <c r="E436" s="192">
        <v>671.8</v>
      </c>
      <c r="F436" s="250">
        <v>6.7629294746241586E-5</v>
      </c>
      <c r="H436" s="401">
        <f t="shared" si="5"/>
        <v>0.9958657964476394</v>
      </c>
    </row>
    <row r="437" spans="1:8" s="227" customFormat="1" ht="30">
      <c r="A437" s="28" t="s">
        <v>653</v>
      </c>
      <c r="B437" s="193" t="s">
        <v>655</v>
      </c>
      <c r="C437" s="194" t="s">
        <v>167</v>
      </c>
      <c r="D437" s="195">
        <v>2</v>
      </c>
      <c r="E437" s="192">
        <v>668.31</v>
      </c>
      <c r="F437" s="250">
        <v>6.7277960660703655E-5</v>
      </c>
      <c r="H437" s="401">
        <f t="shared" si="5"/>
        <v>0.99593307440830015</v>
      </c>
    </row>
    <row r="438" spans="1:8" s="227" customFormat="1">
      <c r="A438" s="28" t="s">
        <v>691</v>
      </c>
      <c r="B438" s="193" t="s">
        <v>693</v>
      </c>
      <c r="C438" s="194" t="s">
        <v>167</v>
      </c>
      <c r="D438" s="195">
        <v>2</v>
      </c>
      <c r="E438" s="192">
        <v>666.99</v>
      </c>
      <c r="F438" s="250">
        <v>6.7145077854712228E-5</v>
      </c>
      <c r="H438" s="401">
        <f t="shared" si="5"/>
        <v>0.9960002194861548</v>
      </c>
    </row>
    <row r="439" spans="1:8" s="227" customFormat="1">
      <c r="A439" s="28" t="s">
        <v>635</v>
      </c>
      <c r="B439" s="193" t="s">
        <v>637</v>
      </c>
      <c r="C439" s="194" t="s">
        <v>167</v>
      </c>
      <c r="D439" s="195">
        <v>1</v>
      </c>
      <c r="E439" s="192">
        <v>662.93</v>
      </c>
      <c r="F439" s="250">
        <v>6.6736362557496184E-5</v>
      </c>
      <c r="H439" s="401">
        <f t="shared" si="5"/>
        <v>0.9960669558487123</v>
      </c>
    </row>
    <row r="440" spans="1:8" s="227" customFormat="1">
      <c r="A440" s="28" t="s">
        <v>708</v>
      </c>
      <c r="B440" s="193" t="s">
        <v>709</v>
      </c>
      <c r="C440" s="194" t="s">
        <v>167</v>
      </c>
      <c r="D440" s="195">
        <v>4</v>
      </c>
      <c r="E440" s="192">
        <v>661.79</v>
      </c>
      <c r="F440" s="250">
        <v>6.6621600134139959E-5</v>
      </c>
      <c r="H440" s="401">
        <f t="shared" si="5"/>
        <v>0.99613357744884645</v>
      </c>
    </row>
    <row r="441" spans="1:8" s="227" customFormat="1" ht="25.5">
      <c r="A441" s="588" t="s">
        <v>2790</v>
      </c>
      <c r="B441" s="505" t="s">
        <v>2733</v>
      </c>
      <c r="C441" s="504" t="s">
        <v>167</v>
      </c>
      <c r="D441" s="504">
        <v>1</v>
      </c>
      <c r="E441" s="192">
        <v>650.78</v>
      </c>
      <c r="F441" s="250">
        <v>6.5513236729620574E-5</v>
      </c>
      <c r="H441" s="401">
        <f t="shared" si="5"/>
        <v>0.99619909068557611</v>
      </c>
    </row>
    <row r="442" spans="1:8" s="227" customFormat="1">
      <c r="A442" s="28" t="s">
        <v>288</v>
      </c>
      <c r="B442" s="193" t="s">
        <v>289</v>
      </c>
      <c r="C442" s="194" t="s">
        <v>167</v>
      </c>
      <c r="D442" s="195">
        <v>4</v>
      </c>
      <c r="E442" s="192">
        <v>647.38</v>
      </c>
      <c r="F442" s="250">
        <v>6.5170962835400237E-5</v>
      </c>
      <c r="H442" s="401">
        <f t="shared" si="5"/>
        <v>0.99626426164841153</v>
      </c>
    </row>
    <row r="443" spans="1:8" s="227" customFormat="1">
      <c r="A443" s="588" t="s">
        <v>2889</v>
      </c>
      <c r="B443" s="594" t="s">
        <v>2862</v>
      </c>
      <c r="C443" s="504" t="s">
        <v>2184</v>
      </c>
      <c r="D443" s="504">
        <v>3.5</v>
      </c>
      <c r="E443" s="192">
        <v>615.66999999999996</v>
      </c>
      <c r="F443" s="250">
        <v>6.1978755427833523E-5</v>
      </c>
      <c r="H443" s="401">
        <f t="shared" si="5"/>
        <v>0.99632624040383932</v>
      </c>
    </row>
    <row r="444" spans="1:8" s="227" customFormat="1">
      <c r="A444" s="587" t="s">
        <v>818</v>
      </c>
      <c r="B444" s="593" t="s">
        <v>819</v>
      </c>
      <c r="C444" s="504" t="s">
        <v>180</v>
      </c>
      <c r="D444" s="600">
        <v>24</v>
      </c>
      <c r="E444" s="192">
        <v>603.61</v>
      </c>
      <c r="F444" s="250">
        <v>6.0764689791275507E-5</v>
      </c>
      <c r="H444" s="401">
        <f t="shared" si="5"/>
        <v>0.99638700509363065</v>
      </c>
    </row>
    <row r="445" spans="1:8" s="227" customFormat="1">
      <c r="A445" s="28" t="s">
        <v>2829</v>
      </c>
      <c r="B445" s="193" t="s">
        <v>2815</v>
      </c>
      <c r="C445" s="599" t="s">
        <v>1401</v>
      </c>
      <c r="D445" s="195">
        <v>100</v>
      </c>
      <c r="E445" s="192">
        <v>593.67999999999995</v>
      </c>
      <c r="F445" s="250">
        <v>5.976504868256729E-5</v>
      </c>
      <c r="H445" s="401">
        <f t="shared" si="5"/>
        <v>0.9964467701423132</v>
      </c>
    </row>
    <row r="446" spans="1:8" s="227" customFormat="1">
      <c r="A446" s="28" t="s">
        <v>2897</v>
      </c>
      <c r="B446" s="193" t="s">
        <v>2872</v>
      </c>
      <c r="C446" s="599" t="s">
        <v>2873</v>
      </c>
      <c r="D446" s="195">
        <v>1</v>
      </c>
      <c r="E446" s="192">
        <v>590.94000000000005</v>
      </c>
      <c r="F446" s="250">
        <v>5.9489216191342673E-5</v>
      </c>
      <c r="H446" s="401">
        <f t="shared" si="5"/>
        <v>0.99650625935850456</v>
      </c>
    </row>
    <row r="447" spans="1:8" s="227" customFormat="1" ht="14.45" customHeight="1">
      <c r="A447" s="28" t="s">
        <v>2854</v>
      </c>
      <c r="B447" s="193" t="s">
        <v>2844</v>
      </c>
      <c r="C447" s="194" t="s">
        <v>2249</v>
      </c>
      <c r="D447" s="195">
        <v>7.6401450000000004</v>
      </c>
      <c r="E447" s="192">
        <v>578.92999999999995</v>
      </c>
      <c r="F447" s="250">
        <v>5.8280183994405538E-5</v>
      </c>
      <c r="H447" s="401">
        <f t="shared" si="5"/>
        <v>0.99656453954249902</v>
      </c>
    </row>
    <row r="448" spans="1:8" s="227" customFormat="1" ht="30">
      <c r="A448" s="28" t="s">
        <v>2773</v>
      </c>
      <c r="B448" s="193" t="s">
        <v>2712</v>
      </c>
      <c r="C448" s="194" t="s">
        <v>167</v>
      </c>
      <c r="D448" s="195">
        <v>1</v>
      </c>
      <c r="E448" s="192">
        <v>574.03</v>
      </c>
      <c r="F448" s="250">
        <v>5.7786906911558586E-5</v>
      </c>
      <c r="H448" s="401">
        <f t="shared" si="5"/>
        <v>0.99662232644941062</v>
      </c>
    </row>
    <row r="449" spans="1:8" s="227" customFormat="1">
      <c r="A449" s="28" t="s">
        <v>566</v>
      </c>
      <c r="B449" s="193" t="s">
        <v>568</v>
      </c>
      <c r="C449" s="194" t="s">
        <v>167</v>
      </c>
      <c r="D449" s="195">
        <v>6</v>
      </c>
      <c r="E449" s="192">
        <v>569.27</v>
      </c>
      <c r="F449" s="250">
        <v>5.7307723459650116E-5</v>
      </c>
      <c r="H449" s="401">
        <f t="shared" ref="H449:H512" si="6">H448+F449</f>
        <v>0.99667963417287031</v>
      </c>
    </row>
    <row r="450" spans="1:8" s="227" customFormat="1">
      <c r="A450" s="28" t="s">
        <v>838</v>
      </c>
      <c r="B450" s="193" t="s">
        <v>840</v>
      </c>
      <c r="C450" s="194" t="s">
        <v>180</v>
      </c>
      <c r="D450" s="195">
        <v>81</v>
      </c>
      <c r="E450" s="192">
        <v>557.34</v>
      </c>
      <c r="F450" s="250">
        <v>5.6106744766106413E-5</v>
      </c>
      <c r="H450" s="401">
        <f t="shared" si="6"/>
        <v>0.99673574091763639</v>
      </c>
    </row>
    <row r="451" spans="1:8" s="227" customFormat="1" ht="25.5">
      <c r="A451" s="587" t="s">
        <v>665</v>
      </c>
      <c r="B451" s="593" t="s">
        <v>667</v>
      </c>
      <c r="C451" s="504" t="s">
        <v>167</v>
      </c>
      <c r="D451" s="504">
        <v>2</v>
      </c>
      <c r="E451" s="192">
        <v>553.96</v>
      </c>
      <c r="F451" s="250">
        <v>5.5766484247734435E-5</v>
      </c>
      <c r="H451" s="401">
        <f t="shared" si="6"/>
        <v>0.99679150740188416</v>
      </c>
    </row>
    <row r="452" spans="1:8" s="227" customFormat="1" ht="25.5">
      <c r="A452" s="588" t="s">
        <v>2828</v>
      </c>
      <c r="B452" s="594" t="s">
        <v>2814</v>
      </c>
      <c r="C452" s="504" t="s">
        <v>1401</v>
      </c>
      <c r="D452" s="504">
        <v>200</v>
      </c>
      <c r="E452" s="192">
        <v>553.92999999999995</v>
      </c>
      <c r="F452" s="250">
        <v>5.5763464183961892E-5</v>
      </c>
      <c r="H452" s="401">
        <f t="shared" si="6"/>
        <v>0.99684727086606817</v>
      </c>
    </row>
    <row r="453" spans="1:8" s="227" customFormat="1" ht="30">
      <c r="A453" s="28" t="s">
        <v>2768</v>
      </c>
      <c r="B453" s="193" t="s">
        <v>2707</v>
      </c>
      <c r="C453" s="599" t="s">
        <v>163</v>
      </c>
      <c r="D453" s="195">
        <v>3</v>
      </c>
      <c r="E453" s="192">
        <v>541.04999999999995</v>
      </c>
      <c r="F453" s="250">
        <v>5.4466850137621328E-5</v>
      </c>
      <c r="H453" s="401">
        <f t="shared" si="6"/>
        <v>0.99690173771620583</v>
      </c>
    </row>
    <row r="454" spans="1:8" s="227" customFormat="1" ht="30">
      <c r="A454" s="28" t="s">
        <v>662</v>
      </c>
      <c r="B454" s="193" t="s">
        <v>664</v>
      </c>
      <c r="C454" s="194" t="s">
        <v>167</v>
      </c>
      <c r="D454" s="195">
        <v>2</v>
      </c>
      <c r="E454" s="192">
        <v>538.41999999999996</v>
      </c>
      <c r="F454" s="250">
        <v>5.4202091213562657E-5</v>
      </c>
      <c r="H454" s="401">
        <f t="shared" si="6"/>
        <v>0.99695593980741937</v>
      </c>
    </row>
    <row r="455" spans="1:8" s="227" customFormat="1">
      <c r="A455" s="504" t="s">
        <v>358</v>
      </c>
      <c r="B455" s="505" t="s">
        <v>360</v>
      </c>
      <c r="C455" s="504" t="s">
        <v>180</v>
      </c>
      <c r="D455" s="504">
        <v>20</v>
      </c>
      <c r="E455" s="192">
        <v>536.29999999999995</v>
      </c>
      <c r="F455" s="250">
        <v>5.3988673373637041E-5</v>
      </c>
      <c r="H455" s="401">
        <f t="shared" si="6"/>
        <v>0.99700992848079295</v>
      </c>
    </row>
    <row r="456" spans="1:8" s="227" customFormat="1">
      <c r="A456" s="28" t="s">
        <v>801</v>
      </c>
      <c r="B456" s="193" t="s">
        <v>802</v>
      </c>
      <c r="C456" s="194" t="s">
        <v>180</v>
      </c>
      <c r="D456" s="195">
        <v>36</v>
      </c>
      <c r="E456" s="192">
        <v>526.71</v>
      </c>
      <c r="F456" s="250">
        <v>5.3023259654350867E-5</v>
      </c>
      <c r="H456" s="401">
        <f t="shared" si="6"/>
        <v>0.99706295174044735</v>
      </c>
    </row>
    <row r="457" spans="1:8" s="227" customFormat="1">
      <c r="A457" s="28" t="s">
        <v>2766</v>
      </c>
      <c r="B457" s="193" t="s">
        <v>2704</v>
      </c>
      <c r="C457" s="194" t="s">
        <v>180</v>
      </c>
      <c r="D457" s="195">
        <v>6.9</v>
      </c>
      <c r="E457" s="192">
        <v>524.99</v>
      </c>
      <c r="F457" s="250">
        <v>5.2850109331392339E-5</v>
      </c>
      <c r="H457" s="401">
        <f t="shared" si="6"/>
        <v>0.99711580184977877</v>
      </c>
    </row>
    <row r="458" spans="1:8" s="227" customFormat="1">
      <c r="A458" s="28" t="s">
        <v>1003</v>
      </c>
      <c r="B458" s="193" t="s">
        <v>199</v>
      </c>
      <c r="C458" s="194" t="s">
        <v>167</v>
      </c>
      <c r="D458" s="195">
        <v>10</v>
      </c>
      <c r="E458" s="192">
        <v>519.16</v>
      </c>
      <c r="F458" s="250">
        <v>5.2263210271596878E-5</v>
      </c>
      <c r="H458" s="401">
        <f t="shared" si="6"/>
        <v>0.9971680650600504</v>
      </c>
    </row>
    <row r="459" spans="1:8" s="227" customFormat="1">
      <c r="A459" s="28" t="s">
        <v>911</v>
      </c>
      <c r="B459" s="193" t="s">
        <v>913</v>
      </c>
      <c r="C459" s="194" t="s">
        <v>167</v>
      </c>
      <c r="D459" s="195">
        <v>13</v>
      </c>
      <c r="E459" s="192">
        <v>514.9</v>
      </c>
      <c r="F459" s="250">
        <v>5.183436121589728E-5</v>
      </c>
      <c r="H459" s="401">
        <f t="shared" si="6"/>
        <v>0.99721989942126632</v>
      </c>
    </row>
    <row r="460" spans="1:8" s="227" customFormat="1">
      <c r="A460" s="28" t="s">
        <v>697</v>
      </c>
      <c r="B460" s="193" t="s">
        <v>699</v>
      </c>
      <c r="C460" s="194" t="s">
        <v>167</v>
      </c>
      <c r="D460" s="195">
        <v>4</v>
      </c>
      <c r="E460" s="192">
        <v>511.14</v>
      </c>
      <c r="F460" s="250">
        <v>5.145584655640656E-5</v>
      </c>
      <c r="H460" s="401">
        <f t="shared" si="6"/>
        <v>0.99727135526782273</v>
      </c>
    </row>
    <row r="461" spans="1:8" s="227" customFormat="1">
      <c r="A461" s="588" t="s">
        <v>2895</v>
      </c>
      <c r="B461" s="505" t="s">
        <v>2869</v>
      </c>
      <c r="C461" s="504" t="s">
        <v>2249</v>
      </c>
      <c r="D461" s="504">
        <v>2.9026548246399999</v>
      </c>
      <c r="E461" s="192">
        <v>497.54</v>
      </c>
      <c r="F461" s="250">
        <v>5.0086750979525217E-5</v>
      </c>
      <c r="H461" s="401">
        <f t="shared" si="6"/>
        <v>0.99732144201880224</v>
      </c>
    </row>
    <row r="462" spans="1:8" s="227" customFormat="1">
      <c r="A462" s="28" t="s">
        <v>1110</v>
      </c>
      <c r="B462" s="193" t="s">
        <v>1112</v>
      </c>
      <c r="C462" s="194" t="s">
        <v>167</v>
      </c>
      <c r="D462" s="195">
        <v>3</v>
      </c>
      <c r="E462" s="192">
        <v>491.37</v>
      </c>
      <c r="F462" s="250">
        <v>4.9465624530307726E-5</v>
      </c>
      <c r="H462" s="401">
        <f t="shared" si="6"/>
        <v>0.99737090764333258</v>
      </c>
    </row>
    <row r="463" spans="1:8" s="227" customFormat="1">
      <c r="A463" s="28" t="s">
        <v>2950</v>
      </c>
      <c r="B463" s="193" t="s">
        <v>2951</v>
      </c>
      <c r="C463" s="194" t="s">
        <v>2184</v>
      </c>
      <c r="D463" s="195">
        <v>55</v>
      </c>
      <c r="E463" s="192">
        <v>490.47</v>
      </c>
      <c r="F463" s="250">
        <v>4.937502261713176E-5</v>
      </c>
      <c r="H463" s="401">
        <f t="shared" si="6"/>
        <v>0.99742028266594973</v>
      </c>
    </row>
    <row r="464" spans="1:8" s="227" customFormat="1" ht="51">
      <c r="A464" s="587" t="s">
        <v>400</v>
      </c>
      <c r="B464" s="592" t="s">
        <v>2973</v>
      </c>
      <c r="C464" s="504" t="s">
        <v>167</v>
      </c>
      <c r="D464" s="600">
        <v>2</v>
      </c>
      <c r="E464" s="192">
        <v>490.06</v>
      </c>
      <c r="F464" s="250">
        <v>4.9333748412240483E-5</v>
      </c>
      <c r="H464" s="401">
        <f t="shared" si="6"/>
        <v>0.99746961641436194</v>
      </c>
    </row>
    <row r="465" spans="1:8" s="227" customFormat="1">
      <c r="A465" s="28" t="s">
        <v>803</v>
      </c>
      <c r="B465" s="193" t="s">
        <v>804</v>
      </c>
      <c r="C465" s="194" t="s">
        <v>167</v>
      </c>
      <c r="D465" s="195">
        <v>3</v>
      </c>
      <c r="E465" s="192">
        <v>473.16</v>
      </c>
      <c r="F465" s="250">
        <v>4.7632445820380579E-5</v>
      </c>
      <c r="H465" s="401">
        <f t="shared" si="6"/>
        <v>0.99751724886018234</v>
      </c>
    </row>
    <row r="466" spans="1:8" s="227" customFormat="1" ht="14.45" customHeight="1">
      <c r="A466" s="589" t="s">
        <v>2892</v>
      </c>
      <c r="B466" s="593" t="s">
        <v>2865</v>
      </c>
      <c r="C466" s="504" t="s">
        <v>2866</v>
      </c>
      <c r="D466" s="504">
        <v>1</v>
      </c>
      <c r="E466" s="192">
        <v>471.1</v>
      </c>
      <c r="F466" s="250">
        <v>4.7425068108000021E-5</v>
      </c>
      <c r="H466" s="401">
        <f t="shared" si="6"/>
        <v>0.99756467392829029</v>
      </c>
    </row>
    <row r="467" spans="1:8" s="227" customFormat="1">
      <c r="A467" s="28" t="s">
        <v>1234</v>
      </c>
      <c r="B467" s="193" t="s">
        <v>365</v>
      </c>
      <c r="C467" s="194" t="s">
        <v>180</v>
      </c>
      <c r="D467" s="195">
        <v>10</v>
      </c>
      <c r="E467" s="192">
        <v>466.74</v>
      </c>
      <c r="F467" s="250">
        <v>4.6986152173058646E-5</v>
      </c>
      <c r="H467" s="401">
        <f t="shared" si="6"/>
        <v>0.99761166008046331</v>
      </c>
    </row>
    <row r="468" spans="1:8" s="227" customFormat="1">
      <c r="A468" s="28" t="s">
        <v>644</v>
      </c>
      <c r="B468" s="193" t="s">
        <v>646</v>
      </c>
      <c r="C468" s="194" t="s">
        <v>167</v>
      </c>
      <c r="D468" s="195">
        <v>2</v>
      </c>
      <c r="E468" s="192">
        <v>465.15</v>
      </c>
      <c r="F468" s="250">
        <v>4.6826088793114431E-5</v>
      </c>
      <c r="H468" s="401">
        <f t="shared" si="6"/>
        <v>0.99765848616925645</v>
      </c>
    </row>
    <row r="469" spans="1:8" s="227" customFormat="1">
      <c r="A469" s="28" t="s">
        <v>885</v>
      </c>
      <c r="B469" s="193" t="s">
        <v>887</v>
      </c>
      <c r="C469" s="194" t="s">
        <v>163</v>
      </c>
      <c r="D469" s="195">
        <v>26</v>
      </c>
      <c r="E469" s="192">
        <v>462.74</v>
      </c>
      <c r="F469" s="250">
        <v>4.6583477003387667E-5</v>
      </c>
      <c r="H469" s="401">
        <f t="shared" si="6"/>
        <v>0.99770506964625982</v>
      </c>
    </row>
    <row r="470" spans="1:8" s="227" customFormat="1">
      <c r="A470" s="28" t="s">
        <v>2594</v>
      </c>
      <c r="B470" s="193" t="s">
        <v>2562</v>
      </c>
      <c r="C470" s="194" t="s">
        <v>167</v>
      </c>
      <c r="D470" s="195">
        <v>80</v>
      </c>
      <c r="E470" s="192">
        <v>458.05</v>
      </c>
      <c r="F470" s="250">
        <v>4.6111340366948438E-5</v>
      </c>
      <c r="H470" s="401">
        <f t="shared" si="6"/>
        <v>0.99775118098662674</v>
      </c>
    </row>
    <row r="471" spans="1:8" s="227" customFormat="1" ht="30">
      <c r="A471" s="28" t="s">
        <v>950</v>
      </c>
      <c r="B471" s="193" t="s">
        <v>952</v>
      </c>
      <c r="C471" s="194" t="s">
        <v>167</v>
      </c>
      <c r="D471" s="195">
        <v>41</v>
      </c>
      <c r="E471" s="192">
        <v>451.68</v>
      </c>
      <c r="F471" s="250">
        <v>4.54700801592474E-5</v>
      </c>
      <c r="H471" s="401">
        <f t="shared" si="6"/>
        <v>0.99779665106678594</v>
      </c>
    </row>
    <row r="472" spans="1:8" s="227" customFormat="1">
      <c r="A472" s="28" t="s">
        <v>2653</v>
      </c>
      <c r="B472" s="193" t="s">
        <v>2630</v>
      </c>
      <c r="C472" s="599" t="s">
        <v>167</v>
      </c>
      <c r="D472" s="195">
        <v>4</v>
      </c>
      <c r="E472" s="192">
        <v>450.7</v>
      </c>
      <c r="F472" s="250">
        <v>4.5371424742678003E-5</v>
      </c>
      <c r="H472" s="401">
        <f t="shared" si="6"/>
        <v>0.99784202249152865</v>
      </c>
    </row>
    <row r="473" spans="1:8" s="227" customFormat="1">
      <c r="A473" s="28" t="s">
        <v>2602</v>
      </c>
      <c r="B473" s="193" t="s">
        <v>2577</v>
      </c>
      <c r="C473" s="194" t="s">
        <v>167</v>
      </c>
      <c r="D473" s="195">
        <v>10</v>
      </c>
      <c r="E473" s="192">
        <v>441.03</v>
      </c>
      <c r="F473" s="250">
        <v>4.4397957519998405E-5</v>
      </c>
      <c r="H473" s="401">
        <f t="shared" si="6"/>
        <v>0.99788642044904863</v>
      </c>
    </row>
    <row r="474" spans="1:8" s="227" customFormat="1" ht="14.45" customHeight="1">
      <c r="A474" s="28" t="s">
        <v>873</v>
      </c>
      <c r="B474" s="193" t="s">
        <v>875</v>
      </c>
      <c r="C474" s="599" t="s">
        <v>167</v>
      </c>
      <c r="D474" s="195">
        <v>21</v>
      </c>
      <c r="E474" s="192">
        <v>438.96</v>
      </c>
      <c r="F474" s="250">
        <v>4.4189573119693671E-5</v>
      </c>
      <c r="H474" s="401">
        <f t="shared" si="6"/>
        <v>0.99793061002216832</v>
      </c>
    </row>
    <row r="475" spans="1:8" s="227" customFormat="1" ht="14.45" customHeight="1">
      <c r="A475" s="589" t="s">
        <v>2903</v>
      </c>
      <c r="B475" s="598" t="s">
        <v>2882</v>
      </c>
      <c r="C475" s="600" t="s">
        <v>1932</v>
      </c>
      <c r="D475" s="600">
        <v>1</v>
      </c>
      <c r="E475" s="192">
        <v>438.7</v>
      </c>
      <c r="F475" s="250">
        <v>4.4163399233665059E-5</v>
      </c>
      <c r="H475" s="401">
        <f t="shared" si="6"/>
        <v>0.99797477342140195</v>
      </c>
    </row>
    <row r="476" spans="1:8" s="227" customFormat="1">
      <c r="A476" s="28" t="s">
        <v>2679</v>
      </c>
      <c r="B476" s="193" t="s">
        <v>2671</v>
      </c>
      <c r="C476" s="194" t="s">
        <v>167</v>
      </c>
      <c r="D476" s="195">
        <v>12</v>
      </c>
      <c r="E476" s="192">
        <v>434.75</v>
      </c>
      <c r="F476" s="250">
        <v>4.3765757503614961E-5</v>
      </c>
      <c r="H476" s="401">
        <f t="shared" si="6"/>
        <v>0.99801853917890559</v>
      </c>
    </row>
    <row r="477" spans="1:8" s="227" customFormat="1">
      <c r="A477" s="28" t="s">
        <v>560</v>
      </c>
      <c r="B477" s="193" t="s">
        <v>562</v>
      </c>
      <c r="C477" s="194" t="s">
        <v>167</v>
      </c>
      <c r="D477" s="195">
        <v>4</v>
      </c>
      <c r="E477" s="192">
        <v>419.29</v>
      </c>
      <c r="F477" s="250">
        <v>4.2209417972836614E-5</v>
      </c>
      <c r="H477" s="401">
        <f t="shared" si="6"/>
        <v>0.99806074859687843</v>
      </c>
    </row>
    <row r="478" spans="1:8" s="227" customFormat="1">
      <c r="A478" s="28" t="s">
        <v>1005</v>
      </c>
      <c r="B478" s="193" t="s">
        <v>910</v>
      </c>
      <c r="C478" s="194" t="s">
        <v>180</v>
      </c>
      <c r="D478" s="195">
        <v>13.2</v>
      </c>
      <c r="E478" s="192">
        <v>419.04</v>
      </c>
      <c r="F478" s="250">
        <v>4.2184250774732178E-5</v>
      </c>
      <c r="H478" s="401">
        <f t="shared" si="6"/>
        <v>0.99810293284765317</v>
      </c>
    </row>
    <row r="479" spans="1:8" s="227" customFormat="1">
      <c r="A479" s="559" t="s">
        <v>710</v>
      </c>
      <c r="B479" s="561" t="s">
        <v>711</v>
      </c>
      <c r="C479" s="562" t="s">
        <v>167</v>
      </c>
      <c r="D479" s="563">
        <v>4</v>
      </c>
      <c r="E479" s="192">
        <v>404.84</v>
      </c>
      <c r="F479" s="250">
        <v>4.0754753922400187E-5</v>
      </c>
      <c r="H479" s="401">
        <f t="shared" si="6"/>
        <v>0.99814368760157557</v>
      </c>
    </row>
    <row r="480" spans="1:8" s="227" customFormat="1">
      <c r="A480" s="559" t="s">
        <v>688</v>
      </c>
      <c r="B480" s="561" t="s">
        <v>690</v>
      </c>
      <c r="C480" s="619" t="s">
        <v>167</v>
      </c>
      <c r="D480" s="563">
        <v>2</v>
      </c>
      <c r="E480" s="192">
        <v>396.24</v>
      </c>
      <c r="F480" s="250">
        <v>3.9889002307607573E-5</v>
      </c>
      <c r="H480" s="401">
        <f t="shared" si="6"/>
        <v>0.99818357660388313</v>
      </c>
    </row>
    <row r="481" spans="1:8" s="227" customFormat="1">
      <c r="A481" s="559" t="s">
        <v>2646</v>
      </c>
      <c r="B481" s="561" t="s">
        <v>2621</v>
      </c>
      <c r="C481" s="562" t="s">
        <v>167</v>
      </c>
      <c r="D481" s="563">
        <v>48</v>
      </c>
      <c r="E481" s="192">
        <v>393.47</v>
      </c>
      <c r="F481" s="250">
        <v>3.961014975261042E-5</v>
      </c>
      <c r="H481" s="401">
        <f t="shared" si="6"/>
        <v>0.99822318675363575</v>
      </c>
    </row>
    <row r="482" spans="1:8" s="227" customFormat="1">
      <c r="A482" s="559" t="s">
        <v>2853</v>
      </c>
      <c r="B482" s="561" t="s">
        <v>2842</v>
      </c>
      <c r="C482" s="562" t="s">
        <v>2249</v>
      </c>
      <c r="D482" s="563">
        <v>7.6401450000000004</v>
      </c>
      <c r="E482" s="192">
        <v>375.01</v>
      </c>
      <c r="F482" s="250">
        <v>3.775180384457883E-5</v>
      </c>
      <c r="H482" s="401">
        <f t="shared" si="6"/>
        <v>0.99826093855748033</v>
      </c>
    </row>
    <row r="483" spans="1:8" s="227" customFormat="1">
      <c r="A483" s="559" t="s">
        <v>900</v>
      </c>
      <c r="B483" s="561" t="s">
        <v>901</v>
      </c>
      <c r="C483" s="619" t="s">
        <v>167</v>
      </c>
      <c r="D483" s="563">
        <v>22</v>
      </c>
      <c r="E483" s="192">
        <v>369.15</v>
      </c>
      <c r="F483" s="250">
        <v>3.716188472101084E-5</v>
      </c>
      <c r="H483" s="401">
        <f t="shared" si="6"/>
        <v>0.99829810044220135</v>
      </c>
    </row>
    <row r="484" spans="1:8" s="227" customFormat="1">
      <c r="A484" s="535" t="s">
        <v>2898</v>
      </c>
      <c r="B484" s="537" t="s">
        <v>2874</v>
      </c>
      <c r="C484" s="519" t="s">
        <v>1401</v>
      </c>
      <c r="D484" s="519">
        <v>2</v>
      </c>
      <c r="E484" s="192">
        <v>362.59</v>
      </c>
      <c r="F484" s="250">
        <v>3.6501497442750425E-5</v>
      </c>
      <c r="H484" s="401">
        <f t="shared" si="6"/>
        <v>0.99833460193964407</v>
      </c>
    </row>
    <row r="485" spans="1:8" s="227" customFormat="1">
      <c r="A485" s="559" t="s">
        <v>1241</v>
      </c>
      <c r="B485" s="561" t="s">
        <v>925</v>
      </c>
      <c r="C485" s="619" t="s">
        <v>167</v>
      </c>
      <c r="D485" s="563">
        <v>8</v>
      </c>
      <c r="E485" s="192">
        <v>355.01</v>
      </c>
      <c r="F485" s="250">
        <v>3.5738427996223913E-5</v>
      </c>
      <c r="H485" s="401">
        <f t="shared" si="6"/>
        <v>0.99837034036764027</v>
      </c>
    </row>
    <row r="486" spans="1:8" s="227" customFormat="1">
      <c r="A486" s="559" t="s">
        <v>2761</v>
      </c>
      <c r="B486" s="561" t="s">
        <v>2698</v>
      </c>
      <c r="C486" s="619" t="s">
        <v>150</v>
      </c>
      <c r="D486" s="563">
        <v>3.78</v>
      </c>
      <c r="E486" s="192">
        <v>348.77</v>
      </c>
      <c r="F486" s="250">
        <v>3.5110254731537182E-5</v>
      </c>
      <c r="H486" s="401">
        <f t="shared" si="6"/>
        <v>0.99840545062237185</v>
      </c>
    </row>
    <row r="487" spans="1:8" s="227" customFormat="1" ht="57.6" customHeight="1">
      <c r="A487" s="559" t="s">
        <v>2800</v>
      </c>
      <c r="B487" s="561" t="s">
        <v>2747</v>
      </c>
      <c r="C487" s="562" t="s">
        <v>167</v>
      </c>
      <c r="D487" s="563">
        <v>1</v>
      </c>
      <c r="E487" s="192">
        <v>343.29</v>
      </c>
      <c r="F487" s="250">
        <v>3.455858974908794E-5</v>
      </c>
      <c r="H487" s="401">
        <f t="shared" si="6"/>
        <v>0.99844000921212095</v>
      </c>
    </row>
    <row r="488" spans="1:8" s="227" customFormat="1">
      <c r="A488" s="559" t="s">
        <v>2781</v>
      </c>
      <c r="B488" s="561" t="s">
        <v>2721</v>
      </c>
      <c r="C488" s="619" t="s">
        <v>180</v>
      </c>
      <c r="D488" s="563">
        <v>7.3</v>
      </c>
      <c r="E488" s="192">
        <v>342.63</v>
      </c>
      <c r="F488" s="250">
        <v>3.4492148346092227E-5</v>
      </c>
      <c r="H488" s="401">
        <f t="shared" si="6"/>
        <v>0.998474501360467</v>
      </c>
    </row>
    <row r="489" spans="1:8" s="227" customFormat="1" ht="14.45" customHeight="1">
      <c r="A489" s="559" t="s">
        <v>1237</v>
      </c>
      <c r="B489" s="561" t="s">
        <v>916</v>
      </c>
      <c r="C489" s="619" t="s">
        <v>167</v>
      </c>
      <c r="D489" s="563">
        <v>9</v>
      </c>
      <c r="E489" s="192">
        <v>335</v>
      </c>
      <c r="F489" s="250">
        <v>3.3724045459944827E-5</v>
      </c>
      <c r="H489" s="401">
        <f t="shared" si="6"/>
        <v>0.99850822540592699</v>
      </c>
    </row>
    <row r="490" spans="1:8" s="227" customFormat="1">
      <c r="A490" s="559" t="s">
        <v>1015</v>
      </c>
      <c r="B490" s="561" t="s">
        <v>1016</v>
      </c>
      <c r="C490" s="619" t="s">
        <v>180</v>
      </c>
      <c r="D490" s="563">
        <v>12</v>
      </c>
      <c r="E490" s="192">
        <v>330.12</v>
      </c>
      <c r="F490" s="250">
        <v>3.3232781752946228E-5</v>
      </c>
      <c r="H490" s="401">
        <f t="shared" si="6"/>
        <v>0.99854145818767992</v>
      </c>
    </row>
    <row r="491" spans="1:8" s="227" customFormat="1">
      <c r="A491" s="559" t="s">
        <v>442</v>
      </c>
      <c r="B491" s="561" t="s">
        <v>444</v>
      </c>
      <c r="C491" s="619" t="s">
        <v>167</v>
      </c>
      <c r="D491" s="563">
        <v>7</v>
      </c>
      <c r="E491" s="192">
        <v>326.99</v>
      </c>
      <c r="F491" s="250">
        <v>3.2917688432678679E-5</v>
      </c>
      <c r="H491" s="401">
        <f t="shared" si="6"/>
        <v>0.99857437587611264</v>
      </c>
    </row>
    <row r="492" spans="1:8" s="227" customFormat="1" ht="14.45" customHeight="1">
      <c r="A492" s="510" t="s">
        <v>2752</v>
      </c>
      <c r="B492" s="518" t="s">
        <v>2686</v>
      </c>
      <c r="C492" s="519" t="s">
        <v>150</v>
      </c>
      <c r="D492" s="519">
        <v>0.40500000000000003</v>
      </c>
      <c r="E492" s="192">
        <v>321.22000000000003</v>
      </c>
      <c r="F492" s="250">
        <v>3.233682950042829E-5</v>
      </c>
      <c r="H492" s="401">
        <f t="shared" si="6"/>
        <v>0.99860671270561308</v>
      </c>
    </row>
    <row r="493" spans="1:8" s="227" customFormat="1">
      <c r="A493" s="559" t="s">
        <v>174</v>
      </c>
      <c r="B493" s="561" t="s">
        <v>176</v>
      </c>
      <c r="C493" s="619" t="s">
        <v>167</v>
      </c>
      <c r="D493" s="563">
        <v>20</v>
      </c>
      <c r="E493" s="192">
        <v>320.19</v>
      </c>
      <c r="F493" s="250">
        <v>3.2233140644238011E-5</v>
      </c>
      <c r="H493" s="401">
        <f t="shared" si="6"/>
        <v>0.99863894584625734</v>
      </c>
    </row>
    <row r="494" spans="1:8" s="227" customFormat="1">
      <c r="A494" s="559" t="s">
        <v>619</v>
      </c>
      <c r="B494" s="561" t="s">
        <v>621</v>
      </c>
      <c r="C494" s="619" t="s">
        <v>167</v>
      </c>
      <c r="D494" s="563">
        <v>1</v>
      </c>
      <c r="E494" s="192">
        <v>308.06</v>
      </c>
      <c r="F494" s="250">
        <v>3.1012028192210753E-5</v>
      </c>
      <c r="H494" s="401">
        <f t="shared" si="6"/>
        <v>0.99866995787444957</v>
      </c>
    </row>
    <row r="495" spans="1:8" s="227" customFormat="1">
      <c r="A495" s="510" t="s">
        <v>2755</v>
      </c>
      <c r="B495" s="521" t="s">
        <v>2689</v>
      </c>
      <c r="C495" s="519" t="s">
        <v>150</v>
      </c>
      <c r="D495" s="512">
        <v>50</v>
      </c>
      <c r="E495" s="192">
        <v>301.19</v>
      </c>
      <c r="F495" s="250">
        <v>3.032043358830084E-5</v>
      </c>
      <c r="H495" s="401">
        <f t="shared" si="6"/>
        <v>0.99870027830803787</v>
      </c>
    </row>
    <row r="496" spans="1:8" s="227" customFormat="1" ht="60">
      <c r="A496" s="559" t="s">
        <v>2794</v>
      </c>
      <c r="B496" s="561" t="s">
        <v>2738</v>
      </c>
      <c r="C496" s="562" t="s">
        <v>167</v>
      </c>
      <c r="D496" s="563">
        <v>1</v>
      </c>
      <c r="E496" s="192">
        <v>300.97000000000003</v>
      </c>
      <c r="F496" s="250">
        <v>3.029828645396894E-5</v>
      </c>
      <c r="H496" s="401">
        <f t="shared" si="6"/>
        <v>0.99873057659449183</v>
      </c>
    </row>
    <row r="497" spans="1:8" s="227" customFormat="1">
      <c r="A497" s="559" t="s">
        <v>1006</v>
      </c>
      <c r="B497" s="561" t="s">
        <v>218</v>
      </c>
      <c r="C497" s="619" t="s">
        <v>180</v>
      </c>
      <c r="D497" s="563">
        <v>5</v>
      </c>
      <c r="E497" s="192">
        <v>298.14</v>
      </c>
      <c r="F497" s="250">
        <v>3.0013393771426716E-5</v>
      </c>
      <c r="H497" s="401">
        <f t="shared" si="6"/>
        <v>0.99876058998826323</v>
      </c>
    </row>
    <row r="498" spans="1:8" s="227" customFormat="1" ht="28.9" customHeight="1">
      <c r="A498" s="559" t="s">
        <v>2759</v>
      </c>
      <c r="B498" s="561" t="s">
        <v>2696</v>
      </c>
      <c r="C498" s="619" t="s">
        <v>167</v>
      </c>
      <c r="D498" s="563">
        <v>1</v>
      </c>
      <c r="E498" s="192">
        <v>290.52999999999997</v>
      </c>
      <c r="F498" s="250">
        <v>2.9247304261127669E-5</v>
      </c>
      <c r="H498" s="401">
        <f t="shared" si="6"/>
        <v>0.99878983729252435</v>
      </c>
    </row>
    <row r="499" spans="1:8" s="227" customFormat="1">
      <c r="A499" s="559" t="s">
        <v>1002</v>
      </c>
      <c r="B499" s="561" t="s">
        <v>910</v>
      </c>
      <c r="C499" s="619" t="s">
        <v>180</v>
      </c>
      <c r="D499" s="563">
        <v>9</v>
      </c>
      <c r="E499" s="192">
        <v>285.70999999999998</v>
      </c>
      <c r="F499" s="250">
        <v>2.8762080681674134E-5</v>
      </c>
      <c r="H499" s="401">
        <f t="shared" si="6"/>
        <v>0.99881859937320605</v>
      </c>
    </row>
    <row r="500" spans="1:8" s="227" customFormat="1">
      <c r="A500" s="559" t="s">
        <v>2607</v>
      </c>
      <c r="B500" s="561" t="s">
        <v>2587</v>
      </c>
      <c r="C500" s="619" t="s">
        <v>167</v>
      </c>
      <c r="D500" s="563">
        <v>4</v>
      </c>
      <c r="E500" s="192">
        <v>281.83</v>
      </c>
      <c r="F500" s="250">
        <v>2.8371485767093281E-5</v>
      </c>
      <c r="H500" s="401">
        <f t="shared" si="6"/>
        <v>0.99884697085897312</v>
      </c>
    </row>
    <row r="501" spans="1:8" s="227" customFormat="1" ht="25.5">
      <c r="A501" s="535" t="s">
        <v>2771</v>
      </c>
      <c r="B501" s="536" t="s">
        <v>2710</v>
      </c>
      <c r="C501" s="519" t="s">
        <v>167</v>
      </c>
      <c r="D501" s="519">
        <v>1</v>
      </c>
      <c r="E501" s="192">
        <v>280.36</v>
      </c>
      <c r="F501" s="250">
        <v>2.8223502642239199E-5</v>
      </c>
      <c r="H501" s="401">
        <f t="shared" si="6"/>
        <v>0.99887519436161532</v>
      </c>
    </row>
    <row r="502" spans="1:8" s="227" customFormat="1">
      <c r="A502" s="559" t="s">
        <v>2893</v>
      </c>
      <c r="B502" s="561" t="s">
        <v>2867</v>
      </c>
      <c r="C502" s="619" t="s">
        <v>2866</v>
      </c>
      <c r="D502" s="563">
        <v>1</v>
      </c>
      <c r="E502" s="192">
        <v>272.3</v>
      </c>
      <c r="F502" s="250">
        <v>2.7412112175352169E-5</v>
      </c>
      <c r="H502" s="401">
        <f t="shared" si="6"/>
        <v>0.9989026064737907</v>
      </c>
    </row>
    <row r="503" spans="1:8" s="227" customFormat="1">
      <c r="A503" s="559" t="s">
        <v>2753</v>
      </c>
      <c r="B503" s="561" t="s">
        <v>2687</v>
      </c>
      <c r="C503" s="619" t="s">
        <v>1171</v>
      </c>
      <c r="D503" s="563">
        <v>17.64</v>
      </c>
      <c r="E503" s="192">
        <v>271.67</v>
      </c>
      <c r="F503" s="250">
        <v>2.7348690836128988E-5</v>
      </c>
      <c r="H503" s="401">
        <f t="shared" si="6"/>
        <v>0.99892995516462679</v>
      </c>
    </row>
    <row r="504" spans="1:8" s="227" customFormat="1">
      <c r="A504" s="559" t="s">
        <v>197</v>
      </c>
      <c r="B504" s="561" t="s">
        <v>199</v>
      </c>
      <c r="C504" s="619" t="s">
        <v>167</v>
      </c>
      <c r="D504" s="563">
        <v>5</v>
      </c>
      <c r="E504" s="192">
        <v>259.58</v>
      </c>
      <c r="F504" s="250">
        <v>2.6131605135798439E-5</v>
      </c>
      <c r="H504" s="401">
        <f t="shared" si="6"/>
        <v>0.99895608676976255</v>
      </c>
    </row>
    <row r="505" spans="1:8" s="227" customFormat="1">
      <c r="A505" s="535" t="s">
        <v>2776</v>
      </c>
      <c r="B505" s="536" t="s">
        <v>2716</v>
      </c>
      <c r="C505" s="519" t="s">
        <v>167</v>
      </c>
      <c r="D505" s="519">
        <v>1</v>
      </c>
      <c r="E505" s="192">
        <v>259.27</v>
      </c>
      <c r="F505" s="250">
        <v>2.6100397810148938E-5</v>
      </c>
      <c r="H505" s="401">
        <f t="shared" si="6"/>
        <v>0.9989821871675727</v>
      </c>
    </row>
    <row r="506" spans="1:8" s="227" customFormat="1">
      <c r="A506" s="559" t="s">
        <v>605</v>
      </c>
      <c r="B506" s="561" t="s">
        <v>607</v>
      </c>
      <c r="C506" s="619" t="s">
        <v>167</v>
      </c>
      <c r="D506" s="563">
        <v>2</v>
      </c>
      <c r="E506" s="192">
        <v>256.97000000000003</v>
      </c>
      <c r="F506" s="250">
        <v>2.5868859587588128E-5</v>
      </c>
      <c r="H506" s="401">
        <f t="shared" si="6"/>
        <v>0.99900805602716025</v>
      </c>
    </row>
    <row r="507" spans="1:8" s="227" customFormat="1" ht="14.45" customHeight="1">
      <c r="A507" s="559" t="s">
        <v>2798</v>
      </c>
      <c r="B507" s="561" t="s">
        <v>2744</v>
      </c>
      <c r="C507" s="619" t="s">
        <v>167</v>
      </c>
      <c r="D507" s="563">
        <v>1</v>
      </c>
      <c r="E507" s="192">
        <v>237.84</v>
      </c>
      <c r="F507" s="250">
        <v>2.3943065588636648E-5</v>
      </c>
      <c r="H507" s="401">
        <f t="shared" si="6"/>
        <v>0.99903199909274887</v>
      </c>
    </row>
    <row r="508" spans="1:8" s="227" customFormat="1">
      <c r="A508" s="559" t="s">
        <v>2885</v>
      </c>
      <c r="B508" s="561" t="s">
        <v>2858</v>
      </c>
      <c r="C508" s="619" t="s">
        <v>2857</v>
      </c>
      <c r="D508" s="563">
        <v>18.432000000000002</v>
      </c>
      <c r="E508" s="192">
        <v>236.25</v>
      </c>
      <c r="F508" s="250">
        <v>2.3783002208692433E-5</v>
      </c>
      <c r="H508" s="401">
        <f t="shared" si="6"/>
        <v>0.9990557820949576</v>
      </c>
    </row>
    <row r="509" spans="1:8" s="227" customFormat="1">
      <c r="A509" s="519" t="s">
        <v>213</v>
      </c>
      <c r="B509" s="536" t="s">
        <v>215</v>
      </c>
      <c r="C509" s="519" t="s">
        <v>180</v>
      </c>
      <c r="D509" s="519">
        <v>5</v>
      </c>
      <c r="E509" s="192">
        <v>233.37</v>
      </c>
      <c r="F509" s="250">
        <v>2.3493076086529323E-5</v>
      </c>
      <c r="H509" s="401">
        <f t="shared" si="6"/>
        <v>0.99907927517104411</v>
      </c>
    </row>
    <row r="510" spans="1:8" s="227" customFormat="1">
      <c r="A510" s="559" t="s">
        <v>956</v>
      </c>
      <c r="B510" s="561" t="s">
        <v>958</v>
      </c>
      <c r="C510" s="619" t="s">
        <v>167</v>
      </c>
      <c r="D510" s="601">
        <v>3</v>
      </c>
      <c r="E510" s="192">
        <v>230.45</v>
      </c>
      <c r="F510" s="250">
        <v>2.3199123212669504E-5</v>
      </c>
      <c r="H510" s="401">
        <f t="shared" si="6"/>
        <v>0.9991024742942568</v>
      </c>
    </row>
    <row r="511" spans="1:8" s="227" customFormat="1" ht="30">
      <c r="A511" s="559" t="s">
        <v>259</v>
      </c>
      <c r="B511" s="561" t="s">
        <v>260</v>
      </c>
      <c r="C511" s="619" t="s">
        <v>150</v>
      </c>
      <c r="D511" s="601">
        <v>57.050000000000004</v>
      </c>
      <c r="E511" s="192">
        <v>228.87</v>
      </c>
      <c r="F511" s="250">
        <v>2.3040066520649469E-5</v>
      </c>
      <c r="H511" s="401">
        <f t="shared" si="6"/>
        <v>0.99912551436077746</v>
      </c>
    </row>
    <row r="512" spans="1:8" s="227" customFormat="1">
      <c r="A512" s="559" t="s">
        <v>829</v>
      </c>
      <c r="B512" s="561" t="s">
        <v>831</v>
      </c>
      <c r="C512" s="619" t="s">
        <v>167</v>
      </c>
      <c r="D512" s="601">
        <v>3</v>
      </c>
      <c r="E512" s="192">
        <v>221.18</v>
      </c>
      <c r="F512" s="250">
        <v>2.2265923506957004E-5</v>
      </c>
      <c r="H512" s="401">
        <f t="shared" si="6"/>
        <v>0.99914778028428441</v>
      </c>
    </row>
    <row r="513" spans="1:8" s="227" customFormat="1">
      <c r="A513" s="559" t="s">
        <v>581</v>
      </c>
      <c r="B513" s="561" t="s">
        <v>583</v>
      </c>
      <c r="C513" s="619" t="s">
        <v>167</v>
      </c>
      <c r="D513" s="563">
        <v>10</v>
      </c>
      <c r="E513" s="192">
        <v>219.8</v>
      </c>
      <c r="F513" s="250">
        <v>2.2127000573420516E-5</v>
      </c>
      <c r="H513" s="401">
        <f t="shared" ref="H513:H576" si="7">H512+F513</f>
        <v>0.99916990728485788</v>
      </c>
    </row>
    <row r="514" spans="1:8" s="227" customFormat="1">
      <c r="A514" s="535" t="s">
        <v>2902</v>
      </c>
      <c r="B514" s="539" t="s">
        <v>2881</v>
      </c>
      <c r="C514" s="519" t="s">
        <v>1932</v>
      </c>
      <c r="D514" s="519">
        <v>1</v>
      </c>
      <c r="E514" s="192">
        <v>214.25</v>
      </c>
      <c r="F514" s="250">
        <v>2.1568288775502027E-5</v>
      </c>
      <c r="H514" s="401">
        <f t="shared" si="7"/>
        <v>0.99919147557363341</v>
      </c>
    </row>
    <row r="515" spans="1:8" s="227" customFormat="1">
      <c r="A515" s="559" t="s">
        <v>882</v>
      </c>
      <c r="B515" s="561" t="s">
        <v>884</v>
      </c>
      <c r="C515" s="619" t="s">
        <v>167</v>
      </c>
      <c r="D515" s="563">
        <v>23</v>
      </c>
      <c r="E515" s="192">
        <v>209.1</v>
      </c>
      <c r="F515" s="250">
        <v>2.1049844494550635E-5</v>
      </c>
      <c r="H515" s="401">
        <f t="shared" si="7"/>
        <v>0.99921252541812799</v>
      </c>
    </row>
    <row r="516" spans="1:8" s="227" customFormat="1">
      <c r="A516" s="559" t="s">
        <v>578</v>
      </c>
      <c r="B516" s="561" t="s">
        <v>580</v>
      </c>
      <c r="C516" s="619" t="s">
        <v>167</v>
      </c>
      <c r="D516" s="563">
        <v>4</v>
      </c>
      <c r="E516" s="192">
        <v>208.22</v>
      </c>
      <c r="F516" s="250">
        <v>2.0961255957223018E-5</v>
      </c>
      <c r="H516" s="401">
        <f t="shared" si="7"/>
        <v>0.99923348667408518</v>
      </c>
    </row>
    <row r="517" spans="1:8" s="227" customFormat="1">
      <c r="A517" s="559" t="s">
        <v>2652</v>
      </c>
      <c r="B517" s="561" t="s">
        <v>2579</v>
      </c>
      <c r="C517" s="619" t="s">
        <v>167</v>
      </c>
      <c r="D517" s="563">
        <v>20</v>
      </c>
      <c r="E517" s="192">
        <v>204.18</v>
      </c>
      <c r="F517" s="250">
        <v>2.0554554035855327E-5</v>
      </c>
      <c r="H517" s="401">
        <f t="shared" si="7"/>
        <v>0.999254041228121</v>
      </c>
    </row>
    <row r="518" spans="1:8" s="227" customFormat="1">
      <c r="A518" s="559" t="s">
        <v>703</v>
      </c>
      <c r="B518" s="561" t="s">
        <v>705</v>
      </c>
      <c r="C518" s="619" t="s">
        <v>167</v>
      </c>
      <c r="D518" s="601">
        <v>1</v>
      </c>
      <c r="E518" s="192">
        <v>203.95</v>
      </c>
      <c r="F518" s="250">
        <v>2.0531400213599244E-5</v>
      </c>
      <c r="H518" s="401">
        <f t="shared" si="7"/>
        <v>0.99927457262833463</v>
      </c>
    </row>
    <row r="519" spans="1:8" s="227" customFormat="1">
      <c r="A519" s="559" t="s">
        <v>203</v>
      </c>
      <c r="B519" s="561" t="s">
        <v>205</v>
      </c>
      <c r="C519" s="619" t="s">
        <v>167</v>
      </c>
      <c r="D519" s="563">
        <v>25</v>
      </c>
      <c r="E519" s="192">
        <v>203.69</v>
      </c>
      <c r="F519" s="250">
        <v>2.0505226327570632E-5</v>
      </c>
      <c r="H519" s="401">
        <f t="shared" si="7"/>
        <v>0.99929507785466221</v>
      </c>
    </row>
    <row r="520" spans="1:8" s="227" customFormat="1">
      <c r="A520" s="559" t="s">
        <v>2762</v>
      </c>
      <c r="B520" s="561" t="s">
        <v>2700</v>
      </c>
      <c r="C520" s="619" t="s">
        <v>167</v>
      </c>
      <c r="D520" s="563">
        <v>1</v>
      </c>
      <c r="E520" s="192">
        <v>203.37</v>
      </c>
      <c r="F520" s="250">
        <v>2.0473012313996951E-5</v>
      </c>
      <c r="H520" s="401">
        <f t="shared" si="7"/>
        <v>0.99931555086697621</v>
      </c>
    </row>
    <row r="521" spans="1:8" s="227" customFormat="1">
      <c r="A521" s="559" t="s">
        <v>917</v>
      </c>
      <c r="B521" s="561" t="s">
        <v>919</v>
      </c>
      <c r="C521" s="619" t="s">
        <v>167</v>
      </c>
      <c r="D521" s="563">
        <v>5</v>
      </c>
      <c r="E521" s="192">
        <v>198.04</v>
      </c>
      <c r="F521" s="250">
        <v>1.9936447650410366E-5</v>
      </c>
      <c r="H521" s="401">
        <f t="shared" si="7"/>
        <v>0.99933548731462662</v>
      </c>
    </row>
    <row r="522" spans="1:8" s="227" customFormat="1">
      <c r="A522" s="559" t="s">
        <v>2786</v>
      </c>
      <c r="B522" s="561" t="s">
        <v>2728</v>
      </c>
      <c r="C522" s="562" t="s">
        <v>167</v>
      </c>
      <c r="D522" s="563">
        <v>1</v>
      </c>
      <c r="E522" s="192">
        <v>197.16</v>
      </c>
      <c r="F522" s="250">
        <v>1.9847859113082752E-5</v>
      </c>
      <c r="H522" s="401">
        <f t="shared" si="7"/>
        <v>0.99935533517373976</v>
      </c>
    </row>
    <row r="523" spans="1:8" s="227" customFormat="1">
      <c r="A523" s="559" t="s">
        <v>2932</v>
      </c>
      <c r="B523" s="561" t="s">
        <v>2912</v>
      </c>
      <c r="C523" s="562" t="s">
        <v>1932</v>
      </c>
      <c r="D523" s="563">
        <v>6</v>
      </c>
      <c r="E523" s="192">
        <v>193.68</v>
      </c>
      <c r="F523" s="250">
        <v>1.9497531715468997E-5</v>
      </c>
      <c r="H523" s="401">
        <f t="shared" si="7"/>
        <v>0.99937483270545524</v>
      </c>
    </row>
    <row r="524" spans="1:8" s="227" customFormat="1">
      <c r="A524" s="559" t="s">
        <v>599</v>
      </c>
      <c r="B524" s="561" t="s">
        <v>601</v>
      </c>
      <c r="C524" s="619" t="s">
        <v>167</v>
      </c>
      <c r="D524" s="563">
        <v>16</v>
      </c>
      <c r="E524" s="192">
        <v>193.57</v>
      </c>
      <c r="F524" s="250">
        <v>1.9486458148303044E-5</v>
      </c>
      <c r="H524" s="401">
        <f t="shared" si="7"/>
        <v>0.99939431916360355</v>
      </c>
    </row>
    <row r="525" spans="1:8" s="227" customFormat="1">
      <c r="A525" s="559" t="s">
        <v>2848</v>
      </c>
      <c r="B525" s="561" t="s">
        <v>2836</v>
      </c>
      <c r="C525" s="619" t="s">
        <v>1932</v>
      </c>
      <c r="D525" s="563">
        <v>1</v>
      </c>
      <c r="E525" s="192">
        <v>192.15</v>
      </c>
      <c r="F525" s="250">
        <v>1.9343508463069847E-5</v>
      </c>
      <c r="H525" s="401">
        <f t="shared" si="7"/>
        <v>0.99941366267206666</v>
      </c>
    </row>
    <row r="526" spans="1:8" s="227" customFormat="1">
      <c r="A526" s="559" t="s">
        <v>808</v>
      </c>
      <c r="B526" s="561" t="s">
        <v>809</v>
      </c>
      <c r="C526" s="562" t="s">
        <v>167</v>
      </c>
      <c r="D526" s="563">
        <v>10</v>
      </c>
      <c r="E526" s="192">
        <v>189.41</v>
      </c>
      <c r="F526" s="250">
        <v>1.9067675971845223E-5</v>
      </c>
      <c r="H526" s="401">
        <f t="shared" si="7"/>
        <v>0.99943273034803848</v>
      </c>
    </row>
    <row r="527" spans="1:8" s="227" customFormat="1" ht="60">
      <c r="A527" s="559" t="s">
        <v>2797</v>
      </c>
      <c r="B527" s="561" t="s">
        <v>2742</v>
      </c>
      <c r="C527" s="619" t="s">
        <v>167</v>
      </c>
      <c r="D527" s="563">
        <v>1</v>
      </c>
      <c r="E527" s="192">
        <v>187.98</v>
      </c>
      <c r="F527" s="250">
        <v>1.8923719598687842E-5</v>
      </c>
      <c r="H527" s="401">
        <f t="shared" si="7"/>
        <v>0.99945165406763714</v>
      </c>
    </row>
    <row r="528" spans="1:8" s="227" customFormat="1">
      <c r="A528" s="535" t="s">
        <v>2780</v>
      </c>
      <c r="B528" s="537" t="s">
        <v>2720</v>
      </c>
      <c r="C528" s="519" t="s">
        <v>180</v>
      </c>
      <c r="D528" s="519">
        <v>3.9</v>
      </c>
      <c r="E528" s="192">
        <v>163.82</v>
      </c>
      <c r="F528" s="250">
        <v>1.6491561573875108E-5</v>
      </c>
      <c r="H528" s="401">
        <f t="shared" si="7"/>
        <v>0.99946814562921105</v>
      </c>
    </row>
    <row r="529" spans="1:8" s="227" customFormat="1">
      <c r="A529" s="535" t="s">
        <v>2847</v>
      </c>
      <c r="B529" s="536" t="s">
        <v>2835</v>
      </c>
      <c r="C529" s="519" t="s">
        <v>1932</v>
      </c>
      <c r="D529" s="519">
        <v>1</v>
      </c>
      <c r="E529" s="192">
        <v>163.55000000000001</v>
      </c>
      <c r="F529" s="250">
        <v>1.6464380999922316E-5</v>
      </c>
      <c r="H529" s="401">
        <f t="shared" si="7"/>
        <v>0.99948461001021094</v>
      </c>
    </row>
    <row r="530" spans="1:8" s="227" customFormat="1">
      <c r="A530" s="559" t="s">
        <v>2818</v>
      </c>
      <c r="B530" s="561" t="s">
        <v>2804</v>
      </c>
      <c r="C530" s="619" t="s">
        <v>1401</v>
      </c>
      <c r="D530" s="563">
        <v>24</v>
      </c>
      <c r="E530" s="192">
        <v>161.86000000000001</v>
      </c>
      <c r="F530" s="250">
        <v>1.6294250740736327E-5</v>
      </c>
      <c r="H530" s="401">
        <f t="shared" si="7"/>
        <v>0.99950090426095173</v>
      </c>
    </row>
    <row r="531" spans="1:8" s="227" customFormat="1" ht="25.5">
      <c r="A531" s="535" t="s">
        <v>2772</v>
      </c>
      <c r="B531" s="537" t="s">
        <v>2710</v>
      </c>
      <c r="C531" s="519" t="s">
        <v>167</v>
      </c>
      <c r="D531" s="519">
        <v>1</v>
      </c>
      <c r="E531" s="192">
        <v>149.94999999999999</v>
      </c>
      <c r="F531" s="250">
        <v>1.5095285423040973E-5</v>
      </c>
      <c r="H531" s="401">
        <f t="shared" si="7"/>
        <v>0.99951599954637482</v>
      </c>
    </row>
    <row r="532" spans="1:8" s="227" customFormat="1">
      <c r="A532" s="559" t="s">
        <v>999</v>
      </c>
      <c r="B532" s="561" t="s">
        <v>1001</v>
      </c>
      <c r="C532" s="562" t="s">
        <v>167</v>
      </c>
      <c r="D532" s="563">
        <v>9</v>
      </c>
      <c r="E532" s="192">
        <v>147.55000000000001</v>
      </c>
      <c r="F532" s="250">
        <v>1.4853680321238385E-5</v>
      </c>
      <c r="H532" s="401">
        <f t="shared" si="7"/>
        <v>0.9995308532266961</v>
      </c>
    </row>
    <row r="533" spans="1:8" s="227" customFormat="1">
      <c r="A533" s="559" t="s">
        <v>1010</v>
      </c>
      <c r="B533" s="561" t="s">
        <v>205</v>
      </c>
      <c r="C533" s="619" t="s">
        <v>167</v>
      </c>
      <c r="D533" s="563">
        <v>18</v>
      </c>
      <c r="E533" s="192">
        <v>146.66</v>
      </c>
      <c r="F533" s="250">
        <v>1.4764085095986591E-5</v>
      </c>
      <c r="H533" s="401">
        <f t="shared" si="7"/>
        <v>0.99954561731179215</v>
      </c>
    </row>
    <row r="534" spans="1:8" s="227" customFormat="1">
      <c r="A534" s="515" t="s">
        <v>2764</v>
      </c>
      <c r="B534" s="516" t="s">
        <v>2702</v>
      </c>
      <c r="C534" s="519" t="s">
        <v>150</v>
      </c>
      <c r="D534" s="512">
        <v>3.78</v>
      </c>
      <c r="E534" s="192">
        <v>142.58000000000001</v>
      </c>
      <c r="F534" s="250">
        <v>1.4353356422922189E-5</v>
      </c>
      <c r="H534" s="401">
        <f t="shared" si="7"/>
        <v>0.99955997066821511</v>
      </c>
    </row>
    <row r="535" spans="1:8" s="227" customFormat="1">
      <c r="A535" s="559" t="s">
        <v>2887</v>
      </c>
      <c r="B535" s="561" t="s">
        <v>2860</v>
      </c>
      <c r="C535" s="619" t="s">
        <v>2249</v>
      </c>
      <c r="D535" s="563">
        <v>1.8800000000000001</v>
      </c>
      <c r="E535" s="192">
        <v>138.38999999999999</v>
      </c>
      <c r="F535" s="250">
        <v>1.3931554182691832E-5</v>
      </c>
      <c r="H535" s="401">
        <f t="shared" si="7"/>
        <v>0.99957390222239784</v>
      </c>
    </row>
    <row r="536" spans="1:8" s="227" customFormat="1">
      <c r="A536" s="510" t="s">
        <v>706</v>
      </c>
      <c r="B536" s="521" t="s">
        <v>707</v>
      </c>
      <c r="C536" s="519" t="s">
        <v>167</v>
      </c>
      <c r="D536" s="512">
        <v>2</v>
      </c>
      <c r="E536" s="192">
        <v>130.76</v>
      </c>
      <c r="F536" s="250">
        <v>1.3163451296544432E-5</v>
      </c>
      <c r="H536" s="401">
        <f t="shared" si="7"/>
        <v>0.99958706567369437</v>
      </c>
    </row>
    <row r="537" spans="1:8" s="227" customFormat="1" ht="14.45" customHeight="1">
      <c r="A537" s="559" t="s">
        <v>1013</v>
      </c>
      <c r="B537" s="561" t="s">
        <v>1014</v>
      </c>
      <c r="C537" s="619" t="s">
        <v>180</v>
      </c>
      <c r="D537" s="563">
        <v>12</v>
      </c>
      <c r="E537" s="192">
        <v>125.64</v>
      </c>
      <c r="F537" s="250">
        <v>1.2648027079365575E-5</v>
      </c>
      <c r="H537" s="401">
        <f t="shared" si="7"/>
        <v>0.99959971370077372</v>
      </c>
    </row>
    <row r="538" spans="1:8" s="227" customFormat="1">
      <c r="A538" s="559" t="s">
        <v>827</v>
      </c>
      <c r="B538" s="561" t="s">
        <v>828</v>
      </c>
      <c r="C538" s="619" t="s">
        <v>167</v>
      </c>
      <c r="D538" s="563">
        <v>6</v>
      </c>
      <c r="E538" s="192">
        <v>118.04</v>
      </c>
      <c r="F538" s="250">
        <v>1.1882944256990709E-5</v>
      </c>
      <c r="H538" s="401">
        <f t="shared" si="7"/>
        <v>0.99961159664503074</v>
      </c>
    </row>
    <row r="539" spans="1:8" s="227" customFormat="1">
      <c r="A539" s="559" t="s">
        <v>2600</v>
      </c>
      <c r="B539" s="561" t="s">
        <v>2573</v>
      </c>
      <c r="C539" s="619" t="s">
        <v>167</v>
      </c>
      <c r="D539" s="563">
        <v>9</v>
      </c>
      <c r="E539" s="192">
        <v>113.57</v>
      </c>
      <c r="F539" s="250">
        <v>1.1432954754883384E-5</v>
      </c>
      <c r="H539" s="401">
        <f t="shared" si="7"/>
        <v>0.99962302959978566</v>
      </c>
    </row>
    <row r="540" spans="1:8" s="227" customFormat="1">
      <c r="A540" s="559" t="s">
        <v>996</v>
      </c>
      <c r="B540" s="561" t="s">
        <v>998</v>
      </c>
      <c r="C540" s="619" t="s">
        <v>167</v>
      </c>
      <c r="D540" s="563">
        <v>1</v>
      </c>
      <c r="E540" s="192">
        <v>105.47</v>
      </c>
      <c r="F540" s="250">
        <v>1.0617537536299643E-5</v>
      </c>
      <c r="H540" s="401">
        <f t="shared" si="7"/>
        <v>0.99963364713732195</v>
      </c>
    </row>
    <row r="541" spans="1:8" s="227" customFormat="1">
      <c r="A541" s="559" t="s">
        <v>2802</v>
      </c>
      <c r="B541" s="561" t="s">
        <v>2749</v>
      </c>
      <c r="C541" s="619" t="s">
        <v>180</v>
      </c>
      <c r="D541" s="563">
        <v>20</v>
      </c>
      <c r="E541" s="192">
        <v>104.82</v>
      </c>
      <c r="F541" s="250">
        <v>1.0552102821228108E-5</v>
      </c>
      <c r="H541" s="401">
        <f t="shared" si="7"/>
        <v>0.99964419924014314</v>
      </c>
    </row>
    <row r="542" spans="1:8" s="227" customFormat="1">
      <c r="A542" s="559" t="s">
        <v>2796</v>
      </c>
      <c r="B542" s="561" t="s">
        <v>2740</v>
      </c>
      <c r="C542" s="619" t="s">
        <v>180</v>
      </c>
      <c r="D542" s="563">
        <v>20</v>
      </c>
      <c r="E542" s="192">
        <v>104.82</v>
      </c>
      <c r="F542" s="250">
        <v>1.0552102821228108E-5</v>
      </c>
      <c r="H542" s="401">
        <f t="shared" si="7"/>
        <v>0.99965475134296433</v>
      </c>
    </row>
    <row r="543" spans="1:8" s="227" customFormat="1">
      <c r="A543" s="559" t="s">
        <v>2775</v>
      </c>
      <c r="B543" s="561" t="s">
        <v>2714</v>
      </c>
      <c r="C543" s="619" t="s">
        <v>167</v>
      </c>
      <c r="D543" s="563">
        <v>1</v>
      </c>
      <c r="E543" s="192">
        <v>102.76</v>
      </c>
      <c r="F543" s="250">
        <v>1.0344725108847553E-5</v>
      </c>
      <c r="H543" s="401">
        <f t="shared" si="7"/>
        <v>0.99966509606807319</v>
      </c>
    </row>
    <row r="544" spans="1:8" s="227" customFormat="1">
      <c r="A544" s="535" t="s">
        <v>2894</v>
      </c>
      <c r="B544" s="537" t="s">
        <v>2868</v>
      </c>
      <c r="C544" s="519" t="s">
        <v>2249</v>
      </c>
      <c r="D544" s="519">
        <v>0.79257299999999997</v>
      </c>
      <c r="E544" s="192">
        <v>100.12</v>
      </c>
      <c r="F544" s="250">
        <v>1.0078959496864705E-5</v>
      </c>
      <c r="H544" s="401">
        <f t="shared" si="7"/>
        <v>0.99967517502757008</v>
      </c>
    </row>
    <row r="545" spans="1:8" s="227" customFormat="1">
      <c r="A545" s="559" t="s">
        <v>1865</v>
      </c>
      <c r="B545" s="561" t="s">
        <v>2558</v>
      </c>
      <c r="C545" s="619" t="s">
        <v>167</v>
      </c>
      <c r="D545" s="563">
        <v>40</v>
      </c>
      <c r="E545" s="192">
        <v>98.37</v>
      </c>
      <c r="F545" s="250">
        <v>9.9027891101336491E-6</v>
      </c>
      <c r="H545" s="401">
        <f t="shared" si="7"/>
        <v>0.99968507781668026</v>
      </c>
    </row>
    <row r="546" spans="1:8" s="227" customFormat="1">
      <c r="A546" s="559" t="s">
        <v>863</v>
      </c>
      <c r="B546" s="561" t="s">
        <v>349</v>
      </c>
      <c r="C546" s="619" t="s">
        <v>163</v>
      </c>
      <c r="D546" s="563">
        <v>1</v>
      </c>
      <c r="E546" s="192">
        <v>93.58</v>
      </c>
      <c r="F546" s="250">
        <v>9.4205855944526469E-6</v>
      </c>
      <c r="H546" s="401">
        <f t="shared" si="7"/>
        <v>0.99969449840227476</v>
      </c>
    </row>
    <row r="547" spans="1:8" s="227" customFormat="1">
      <c r="A547" s="535" t="s">
        <v>2779</v>
      </c>
      <c r="B547" s="537" t="s">
        <v>2719</v>
      </c>
      <c r="C547" s="519" t="s">
        <v>180</v>
      </c>
      <c r="D547" s="519">
        <v>3.3</v>
      </c>
      <c r="E547" s="192">
        <v>87.71</v>
      </c>
      <c r="F547" s="250">
        <v>8.829659782960479E-6</v>
      </c>
      <c r="H547" s="401">
        <f t="shared" si="7"/>
        <v>0.99970332806205775</v>
      </c>
    </row>
    <row r="548" spans="1:8" s="227" customFormat="1">
      <c r="A548" s="559" t="s">
        <v>2777</v>
      </c>
      <c r="B548" s="561" t="s">
        <v>2717</v>
      </c>
      <c r="C548" s="619" t="s">
        <v>167</v>
      </c>
      <c r="D548" s="563">
        <v>1</v>
      </c>
      <c r="E548" s="192">
        <v>82.51</v>
      </c>
      <c r="F548" s="250">
        <v>8.3061820623882025E-6</v>
      </c>
      <c r="H548" s="401">
        <f t="shared" si="7"/>
        <v>0.99971163424412013</v>
      </c>
    </row>
    <row r="549" spans="1:8" s="227" customFormat="1">
      <c r="A549" s="559" t="s">
        <v>1004</v>
      </c>
      <c r="B549" s="561" t="s">
        <v>205</v>
      </c>
      <c r="C549" s="619" t="s">
        <v>167</v>
      </c>
      <c r="D549" s="563">
        <v>10</v>
      </c>
      <c r="E549" s="192">
        <v>81.48</v>
      </c>
      <c r="F549" s="250">
        <v>8.2024932061979236E-6</v>
      </c>
      <c r="H549" s="401">
        <f t="shared" si="7"/>
        <v>0.99971983673732634</v>
      </c>
    </row>
    <row r="550" spans="1:8" s="227" customFormat="1">
      <c r="A550" s="535" t="s">
        <v>2934</v>
      </c>
      <c r="B550" s="537" t="s">
        <v>2914</v>
      </c>
      <c r="C550" s="519" t="s">
        <v>1171</v>
      </c>
      <c r="D550" s="519">
        <v>3</v>
      </c>
      <c r="E550" s="192">
        <v>79.739999999999995</v>
      </c>
      <c r="F550" s="250">
        <v>8.0273295073910444E-6</v>
      </c>
      <c r="H550" s="401">
        <f t="shared" si="7"/>
        <v>0.99972786406683378</v>
      </c>
    </row>
    <row r="551" spans="1:8" s="227" customFormat="1">
      <c r="A551" s="559" t="s">
        <v>2799</v>
      </c>
      <c r="B551" s="561" t="s">
        <v>2745</v>
      </c>
      <c r="C551" s="619" t="s">
        <v>180</v>
      </c>
      <c r="D551" s="563">
        <v>20</v>
      </c>
      <c r="E551" s="192">
        <v>77.75</v>
      </c>
      <c r="F551" s="250">
        <v>7.8269986104797311E-6</v>
      </c>
      <c r="H551" s="401">
        <f t="shared" si="7"/>
        <v>0.99973569106544424</v>
      </c>
    </row>
    <row r="552" spans="1:8" s="227" customFormat="1" ht="120">
      <c r="A552" s="559" t="s">
        <v>1145</v>
      </c>
      <c r="B552" s="561" t="s">
        <v>3002</v>
      </c>
      <c r="C552" s="619" t="s">
        <v>167</v>
      </c>
      <c r="D552" s="563">
        <v>1</v>
      </c>
      <c r="E552" s="192">
        <v>75.010000000000005</v>
      </c>
      <c r="F552" s="250">
        <v>7.5511661192551088E-6</v>
      </c>
      <c r="H552" s="401">
        <f t="shared" si="7"/>
        <v>0.99974324223156352</v>
      </c>
    </row>
    <row r="553" spans="1:8" s="227" customFormat="1" ht="115.15" customHeight="1">
      <c r="A553" s="559" t="s">
        <v>1121</v>
      </c>
      <c r="B553" s="561" t="s">
        <v>2994</v>
      </c>
      <c r="C553" s="619" t="s">
        <v>167</v>
      </c>
      <c r="D553" s="563">
        <v>1</v>
      </c>
      <c r="E553" s="192">
        <v>75.010000000000005</v>
      </c>
      <c r="F553" s="250">
        <v>7.5511661192551088E-6</v>
      </c>
      <c r="H553" s="401">
        <f t="shared" si="7"/>
        <v>0.9997507933976828</v>
      </c>
    </row>
    <row r="554" spans="1:8" s="227" customFormat="1">
      <c r="A554" s="559" t="s">
        <v>375</v>
      </c>
      <c r="B554" s="561" t="s">
        <v>377</v>
      </c>
      <c r="C554" s="619" t="s">
        <v>167</v>
      </c>
      <c r="D554" s="563">
        <v>2</v>
      </c>
      <c r="E554" s="192">
        <v>72.81</v>
      </c>
      <c r="F554" s="250">
        <v>7.3296947759360676E-6</v>
      </c>
      <c r="H554" s="401">
        <f t="shared" si="7"/>
        <v>0.99975812309245871</v>
      </c>
    </row>
    <row r="555" spans="1:8" s="227" customFormat="1">
      <c r="A555" s="515" t="s">
        <v>2817</v>
      </c>
      <c r="B555" s="521" t="s">
        <v>2803</v>
      </c>
      <c r="C555" s="519" t="s">
        <v>1932</v>
      </c>
      <c r="D555" s="519">
        <v>4</v>
      </c>
      <c r="E555" s="192">
        <v>70.94</v>
      </c>
      <c r="F555" s="250">
        <v>7.1414441341148832E-6</v>
      </c>
      <c r="H555" s="401">
        <f t="shared" si="7"/>
        <v>0.99976526453659287</v>
      </c>
    </row>
    <row r="556" spans="1:8" s="227" customFormat="1">
      <c r="A556" s="559" t="s">
        <v>2763</v>
      </c>
      <c r="B556" s="561" t="s">
        <v>2701</v>
      </c>
      <c r="C556" s="619" t="s">
        <v>150</v>
      </c>
      <c r="D556" s="563">
        <v>3.78</v>
      </c>
      <c r="E556" s="192">
        <v>68.78</v>
      </c>
      <c r="F556" s="250">
        <v>6.9239995424925526E-6</v>
      </c>
      <c r="H556" s="401">
        <f t="shared" si="7"/>
        <v>0.99977218853613536</v>
      </c>
    </row>
    <row r="557" spans="1:8" s="227" customFormat="1">
      <c r="A557" s="559" t="s">
        <v>1684</v>
      </c>
      <c r="B557" s="561" t="s">
        <v>2550</v>
      </c>
      <c r="C557" s="619" t="s">
        <v>253</v>
      </c>
      <c r="D557" s="563">
        <v>0.5</v>
      </c>
      <c r="E557" s="192">
        <v>65.760000000000005</v>
      </c>
      <c r="F557" s="250">
        <v>6.6199797893909603E-6</v>
      </c>
      <c r="H557" s="401">
        <f t="shared" si="7"/>
        <v>0.99977880851592471</v>
      </c>
    </row>
    <row r="558" spans="1:8" s="227" customFormat="1">
      <c r="A558" s="559" t="s">
        <v>2792</v>
      </c>
      <c r="B558" s="561" t="s">
        <v>2735</v>
      </c>
      <c r="C558" s="619" t="s">
        <v>167</v>
      </c>
      <c r="D558" s="563">
        <v>1</v>
      </c>
      <c r="E558" s="192">
        <v>65.7</v>
      </c>
      <c r="F558" s="250">
        <v>6.6139396618458955E-6</v>
      </c>
      <c r="H558" s="401">
        <f t="shared" si="7"/>
        <v>0.99978542245558655</v>
      </c>
    </row>
    <row r="559" spans="1:8" s="227" customFormat="1">
      <c r="A559" s="535" t="s">
        <v>2770</v>
      </c>
      <c r="B559" s="539" t="s">
        <v>2709</v>
      </c>
      <c r="C559" s="519" t="s">
        <v>180</v>
      </c>
      <c r="D559" s="519">
        <v>3</v>
      </c>
      <c r="E559" s="192">
        <v>63.42</v>
      </c>
      <c r="F559" s="250">
        <v>6.3844148151334351E-6</v>
      </c>
      <c r="H559" s="401">
        <f t="shared" si="7"/>
        <v>0.9997918068704017</v>
      </c>
    </row>
    <row r="560" spans="1:8" s="227" customFormat="1" ht="102">
      <c r="A560" s="515" t="s">
        <v>1151</v>
      </c>
      <c r="B560" s="518" t="s">
        <v>3004</v>
      </c>
      <c r="C560" s="519" t="s">
        <v>167</v>
      </c>
      <c r="D560" s="512">
        <v>1</v>
      </c>
      <c r="E560" s="192">
        <v>62.51</v>
      </c>
      <c r="F560" s="250">
        <v>6.2928062140332859E-6</v>
      </c>
      <c r="H560" s="401">
        <f t="shared" si="7"/>
        <v>0.9997980996766157</v>
      </c>
    </row>
    <row r="561" spans="1:8" s="227" customFormat="1" ht="120">
      <c r="A561" s="559" t="s">
        <v>1157</v>
      </c>
      <c r="B561" s="561" t="s">
        <v>3006</v>
      </c>
      <c r="C561" s="619" t="s">
        <v>167</v>
      </c>
      <c r="D561" s="563">
        <v>1</v>
      </c>
      <c r="E561" s="192">
        <v>62.51</v>
      </c>
      <c r="F561" s="250">
        <v>6.2928062140332859E-6</v>
      </c>
      <c r="H561" s="401">
        <f t="shared" si="7"/>
        <v>0.99980439248282971</v>
      </c>
    </row>
    <row r="562" spans="1:8" s="227" customFormat="1" ht="120">
      <c r="A562" s="559" t="s">
        <v>3009</v>
      </c>
      <c r="B562" s="561" t="s">
        <v>3010</v>
      </c>
      <c r="C562" s="619" t="s">
        <v>167</v>
      </c>
      <c r="D562" s="563">
        <v>1</v>
      </c>
      <c r="E562" s="192">
        <v>62.51</v>
      </c>
      <c r="F562" s="250">
        <v>6.2928062140332859E-6</v>
      </c>
      <c r="H562" s="401">
        <f t="shared" si="7"/>
        <v>0.99981068528904371</v>
      </c>
    </row>
    <row r="563" spans="1:8" s="227" customFormat="1" ht="120">
      <c r="A563" s="559" t="s">
        <v>3017</v>
      </c>
      <c r="B563" s="561" t="s">
        <v>3018</v>
      </c>
      <c r="C563" s="619" t="s">
        <v>167</v>
      </c>
      <c r="D563" s="563">
        <v>1</v>
      </c>
      <c r="E563" s="192">
        <v>62.51</v>
      </c>
      <c r="F563" s="250">
        <v>6.2928062140332859E-6</v>
      </c>
      <c r="H563" s="401">
        <f t="shared" si="7"/>
        <v>0.99981697809525771</v>
      </c>
    </row>
    <row r="564" spans="1:8" s="227" customFormat="1" ht="120">
      <c r="A564" s="559" t="s">
        <v>3021</v>
      </c>
      <c r="B564" s="561" t="s">
        <v>3022</v>
      </c>
      <c r="C564" s="619" t="s">
        <v>167</v>
      </c>
      <c r="D564" s="563">
        <v>1</v>
      </c>
      <c r="E564" s="192">
        <v>62.51</v>
      </c>
      <c r="F564" s="250">
        <v>6.2928062140332859E-6</v>
      </c>
      <c r="H564" s="401">
        <f t="shared" si="7"/>
        <v>0.99982327090147172</v>
      </c>
    </row>
    <row r="565" spans="1:8" s="227" customFormat="1" ht="120">
      <c r="A565" s="559" t="s">
        <v>3025</v>
      </c>
      <c r="B565" s="561" t="s">
        <v>3026</v>
      </c>
      <c r="C565" s="619" t="s">
        <v>167</v>
      </c>
      <c r="D565" s="563">
        <v>1</v>
      </c>
      <c r="E565" s="192">
        <v>62.51</v>
      </c>
      <c r="F565" s="250">
        <v>6.2928062140332859E-6</v>
      </c>
      <c r="H565" s="401">
        <f t="shared" si="7"/>
        <v>0.99982956370768572</v>
      </c>
    </row>
    <row r="566" spans="1:8" s="227" customFormat="1" ht="89.25">
      <c r="A566" s="535" t="s">
        <v>3029</v>
      </c>
      <c r="B566" s="537" t="s">
        <v>3030</v>
      </c>
      <c r="C566" s="519" t="s">
        <v>167</v>
      </c>
      <c r="D566" s="519">
        <v>1</v>
      </c>
      <c r="E566" s="192">
        <v>62.51</v>
      </c>
      <c r="F566" s="250">
        <v>6.2928062140332859E-6</v>
      </c>
      <c r="H566" s="401">
        <f t="shared" si="7"/>
        <v>0.99983585651389972</v>
      </c>
    </row>
    <row r="567" spans="1:8" s="227" customFormat="1" ht="120">
      <c r="A567" s="559" t="s">
        <v>3033</v>
      </c>
      <c r="B567" s="561" t="s">
        <v>3034</v>
      </c>
      <c r="C567" s="619" t="s">
        <v>167</v>
      </c>
      <c r="D567" s="563">
        <v>1</v>
      </c>
      <c r="E567" s="192">
        <v>62.51</v>
      </c>
      <c r="F567" s="250">
        <v>6.2928062140332859E-6</v>
      </c>
      <c r="H567" s="401">
        <f t="shared" si="7"/>
        <v>0.99984214932011373</v>
      </c>
    </row>
    <row r="568" spans="1:8" s="227" customFormat="1" ht="120">
      <c r="A568" s="559" t="s">
        <v>1127</v>
      </c>
      <c r="B568" s="561" t="s">
        <v>2996</v>
      </c>
      <c r="C568" s="619" t="s">
        <v>167</v>
      </c>
      <c r="D568" s="563">
        <v>1</v>
      </c>
      <c r="E568" s="192">
        <v>62.51</v>
      </c>
      <c r="F568" s="250">
        <v>6.2928062140332859E-6</v>
      </c>
      <c r="H568" s="401">
        <f t="shared" si="7"/>
        <v>0.99984844212632773</v>
      </c>
    </row>
    <row r="569" spans="1:8" s="227" customFormat="1" ht="120">
      <c r="A569" s="559" t="s">
        <v>1133</v>
      </c>
      <c r="B569" s="561" t="s">
        <v>2998</v>
      </c>
      <c r="C569" s="619" t="s">
        <v>167</v>
      </c>
      <c r="D569" s="563">
        <v>1</v>
      </c>
      <c r="E569" s="192">
        <v>62.51</v>
      </c>
      <c r="F569" s="250">
        <v>6.2928062140332859E-6</v>
      </c>
      <c r="H569" s="401">
        <f t="shared" si="7"/>
        <v>0.99985473493254173</v>
      </c>
    </row>
    <row r="570" spans="1:8" s="227" customFormat="1" ht="120">
      <c r="A570" s="515" t="s">
        <v>1139</v>
      </c>
      <c r="B570" s="521" t="s">
        <v>3000</v>
      </c>
      <c r="C570" s="519" t="s">
        <v>167</v>
      </c>
      <c r="D570" s="519">
        <v>1</v>
      </c>
      <c r="E570" s="192">
        <v>62.51</v>
      </c>
      <c r="F570" s="250">
        <v>6.2928062140332859E-6</v>
      </c>
      <c r="H570" s="401">
        <f t="shared" si="7"/>
        <v>0.99986102773875574</v>
      </c>
    </row>
    <row r="571" spans="1:8" s="227" customFormat="1" ht="28.9" customHeight="1">
      <c r="A571" s="559" t="s">
        <v>264</v>
      </c>
      <c r="B571" s="561" t="s">
        <v>265</v>
      </c>
      <c r="C571" s="619" t="s">
        <v>266</v>
      </c>
      <c r="D571" s="563">
        <v>6</v>
      </c>
      <c r="E571" s="192">
        <v>61.63</v>
      </c>
      <c r="F571" s="250">
        <v>6.2042176767056708E-6</v>
      </c>
      <c r="H571" s="401">
        <f t="shared" si="7"/>
        <v>0.99986723195643246</v>
      </c>
    </row>
    <row r="572" spans="1:8" s="227" customFormat="1">
      <c r="A572" s="535" t="s">
        <v>2890</v>
      </c>
      <c r="B572" s="536" t="s">
        <v>2863</v>
      </c>
      <c r="C572" s="519" t="s">
        <v>3035</v>
      </c>
      <c r="D572" s="519">
        <v>18.88</v>
      </c>
      <c r="E572" s="192">
        <v>60.5</v>
      </c>
      <c r="F572" s="250">
        <v>6.0904619412736173E-6</v>
      </c>
      <c r="H572" s="401">
        <f t="shared" si="7"/>
        <v>0.99987332241837368</v>
      </c>
    </row>
    <row r="573" spans="1:8" s="227" customFormat="1">
      <c r="A573" s="559" t="s">
        <v>824</v>
      </c>
      <c r="B573" s="561" t="s">
        <v>826</v>
      </c>
      <c r="C573" s="619" t="s">
        <v>167</v>
      </c>
      <c r="D573" s="563">
        <v>3</v>
      </c>
      <c r="E573" s="192">
        <v>59.7</v>
      </c>
      <c r="F573" s="250">
        <v>6.0099269073394215E-6</v>
      </c>
      <c r="H573" s="401">
        <f t="shared" si="7"/>
        <v>0.99987933234528104</v>
      </c>
    </row>
    <row r="574" spans="1:8" s="227" customFormat="1">
      <c r="A574" s="535" t="s">
        <v>2793</v>
      </c>
      <c r="B574" s="536" t="s">
        <v>2736</v>
      </c>
      <c r="C574" s="519" t="s">
        <v>167</v>
      </c>
      <c r="D574" s="519">
        <v>2</v>
      </c>
      <c r="E574" s="192">
        <v>59.04</v>
      </c>
      <c r="F574" s="250">
        <v>5.9434855043437089E-6</v>
      </c>
      <c r="H574" s="401">
        <f t="shared" si="7"/>
        <v>0.99988527583078535</v>
      </c>
    </row>
    <row r="575" spans="1:8" s="227" customFormat="1">
      <c r="A575" s="559" t="s">
        <v>2801</v>
      </c>
      <c r="B575" s="561" t="s">
        <v>2748</v>
      </c>
      <c r="C575" s="619" t="s">
        <v>167</v>
      </c>
      <c r="D575" s="563">
        <v>1</v>
      </c>
      <c r="E575" s="192">
        <v>55.43</v>
      </c>
      <c r="F575" s="250">
        <v>5.580071163715647E-6</v>
      </c>
      <c r="H575" s="401">
        <f t="shared" si="7"/>
        <v>0.99989085590194904</v>
      </c>
    </row>
    <row r="576" spans="1:8" s="227" customFormat="1">
      <c r="A576" s="559" t="s">
        <v>959</v>
      </c>
      <c r="B576" s="561" t="s">
        <v>961</v>
      </c>
      <c r="C576" s="619" t="s">
        <v>167</v>
      </c>
      <c r="D576" s="563">
        <v>1</v>
      </c>
      <c r="E576" s="192">
        <v>51.92</v>
      </c>
      <c r="F576" s="250">
        <v>5.2267237023293595E-6</v>
      </c>
      <c r="H576" s="401">
        <f t="shared" si="7"/>
        <v>0.99989608262565133</v>
      </c>
    </row>
    <row r="577" spans="1:8" s="227" customFormat="1">
      <c r="A577" s="515" t="s">
        <v>816</v>
      </c>
      <c r="B577" s="516" t="s">
        <v>817</v>
      </c>
      <c r="C577" s="519" t="s">
        <v>167</v>
      </c>
      <c r="D577" s="519">
        <v>6</v>
      </c>
      <c r="E577" s="192">
        <v>50.67</v>
      </c>
      <c r="F577" s="250">
        <v>5.1008877118071772E-6</v>
      </c>
      <c r="H577" s="401">
        <f t="shared" ref="H577:H610" si="8">H576+F577</f>
        <v>0.9999011835133631</v>
      </c>
    </row>
    <row r="578" spans="1:8" s="227" customFormat="1">
      <c r="A578" s="559" t="s">
        <v>2650</v>
      </c>
      <c r="B578" s="561" t="s">
        <v>2573</v>
      </c>
      <c r="C578" s="619" t="s">
        <v>167</v>
      </c>
      <c r="D578" s="563">
        <v>4</v>
      </c>
      <c r="E578" s="192">
        <v>50.47</v>
      </c>
      <c r="F578" s="250">
        <v>5.0807539533236274E-6</v>
      </c>
      <c r="H578" s="401">
        <f t="shared" si="8"/>
        <v>0.99990626426731644</v>
      </c>
    </row>
    <row r="579" spans="1:8" s="227" customFormat="1" ht="102">
      <c r="A579" s="515" t="s">
        <v>3013</v>
      </c>
      <c r="B579" s="516" t="s">
        <v>3014</v>
      </c>
      <c r="C579" s="519" t="s">
        <v>167</v>
      </c>
      <c r="D579" s="512">
        <v>1</v>
      </c>
      <c r="E579" s="192">
        <v>50.01</v>
      </c>
      <c r="F579" s="250">
        <v>5.0344463088114646E-6</v>
      </c>
      <c r="H579" s="401">
        <f t="shared" si="8"/>
        <v>0.99991129871362527</v>
      </c>
    </row>
    <row r="580" spans="1:8" s="227" customFormat="1">
      <c r="A580" s="559" t="s">
        <v>2846</v>
      </c>
      <c r="B580" s="561" t="s">
        <v>2833</v>
      </c>
      <c r="C580" s="562" t="s">
        <v>1932</v>
      </c>
      <c r="D580" s="563">
        <v>1</v>
      </c>
      <c r="E580" s="192">
        <v>49.75</v>
      </c>
      <c r="F580" s="250">
        <v>5.0082724227828508E-6</v>
      </c>
      <c r="H580" s="401">
        <f t="shared" si="8"/>
        <v>0.99991630698604805</v>
      </c>
    </row>
    <row r="581" spans="1:8" s="227" customFormat="1" ht="30">
      <c r="A581" s="559" t="s">
        <v>1100</v>
      </c>
      <c r="B581" s="561" t="s">
        <v>1102</v>
      </c>
      <c r="C581" s="619" t="s">
        <v>167</v>
      </c>
      <c r="D581" s="563">
        <v>1</v>
      </c>
      <c r="E581" s="192">
        <v>48.8</v>
      </c>
      <c r="F581" s="250">
        <v>4.912637069985992E-6</v>
      </c>
      <c r="H581" s="401">
        <f t="shared" si="8"/>
        <v>0.99992121962311808</v>
      </c>
    </row>
    <row r="582" spans="1:8" s="227" customFormat="1" ht="14.45" customHeight="1">
      <c r="A582" s="510" t="s">
        <v>2784</v>
      </c>
      <c r="B582" s="516" t="s">
        <v>2724</v>
      </c>
      <c r="C582" s="519" t="s">
        <v>167</v>
      </c>
      <c r="D582" s="512">
        <v>1</v>
      </c>
      <c r="E582" s="192">
        <v>46.29</v>
      </c>
      <c r="F582" s="250">
        <v>4.6599584010174502E-6</v>
      </c>
      <c r="H582" s="401">
        <f t="shared" si="8"/>
        <v>0.99992587958151913</v>
      </c>
    </row>
    <row r="583" spans="1:8" s="227" customFormat="1">
      <c r="A583" s="535" t="s">
        <v>814</v>
      </c>
      <c r="B583" s="536" t="s">
        <v>815</v>
      </c>
      <c r="C583" s="519" t="s">
        <v>167</v>
      </c>
      <c r="D583" s="519">
        <v>6</v>
      </c>
      <c r="E583" s="192">
        <v>46.28</v>
      </c>
      <c r="F583" s="250">
        <v>4.658951713093273E-6</v>
      </c>
      <c r="H583" s="401">
        <f t="shared" si="8"/>
        <v>0.99993053853323222</v>
      </c>
    </row>
    <row r="584" spans="1:8" s="227" customFormat="1">
      <c r="A584" s="559" t="s">
        <v>812</v>
      </c>
      <c r="B584" s="561" t="s">
        <v>813</v>
      </c>
      <c r="C584" s="619" t="s">
        <v>167</v>
      </c>
      <c r="D584" s="563">
        <v>3</v>
      </c>
      <c r="E584" s="192">
        <v>45.46</v>
      </c>
      <c r="F584" s="250">
        <v>4.5764033033107219E-6</v>
      </c>
      <c r="H584" s="401">
        <f t="shared" si="8"/>
        <v>0.99993511493653553</v>
      </c>
    </row>
    <row r="585" spans="1:8" s="227" customFormat="1">
      <c r="A585" s="559" t="s">
        <v>923</v>
      </c>
      <c r="B585" s="620" t="s">
        <v>925</v>
      </c>
      <c r="C585" s="619" t="s">
        <v>167</v>
      </c>
      <c r="D585" s="563">
        <v>1</v>
      </c>
      <c r="E585" s="192">
        <v>44.38</v>
      </c>
      <c r="F585" s="250">
        <v>4.4676810074995562E-6</v>
      </c>
      <c r="H585" s="401">
        <f t="shared" si="8"/>
        <v>0.99993958261754301</v>
      </c>
    </row>
    <row r="586" spans="1:8" s="227" customFormat="1">
      <c r="A586" s="559" t="s">
        <v>234</v>
      </c>
      <c r="B586" s="561" t="s">
        <v>233</v>
      </c>
      <c r="C586" s="619" t="s">
        <v>167</v>
      </c>
      <c r="D586" s="563">
        <v>1</v>
      </c>
      <c r="E586" s="192">
        <v>41.99</v>
      </c>
      <c r="F586" s="250">
        <v>4.2270825936211441E-6</v>
      </c>
      <c r="H586" s="401">
        <f t="shared" si="8"/>
        <v>0.99994380970013663</v>
      </c>
    </row>
    <row r="587" spans="1:8" s="227" customFormat="1">
      <c r="A587" s="559" t="s">
        <v>2819</v>
      </c>
      <c r="B587" s="561" t="s">
        <v>2805</v>
      </c>
      <c r="C587" s="619" t="s">
        <v>1932</v>
      </c>
      <c r="D587" s="563">
        <v>24</v>
      </c>
      <c r="E587" s="192">
        <v>41.14</v>
      </c>
      <c r="F587" s="250">
        <v>4.1415141200660597E-6</v>
      </c>
      <c r="H587" s="401">
        <f t="shared" si="8"/>
        <v>0.99994795121425673</v>
      </c>
    </row>
    <row r="588" spans="1:8" s="227" customFormat="1">
      <c r="A588" s="559" t="s">
        <v>2603</v>
      </c>
      <c r="B588" s="561" t="s">
        <v>2579</v>
      </c>
      <c r="C588" s="619" t="s">
        <v>167</v>
      </c>
      <c r="D588" s="563">
        <v>4</v>
      </c>
      <c r="E588" s="192">
        <v>40.840000000000003</v>
      </c>
      <c r="F588" s="250">
        <v>4.1113134823407363E-6</v>
      </c>
      <c r="H588" s="401">
        <f t="shared" si="8"/>
        <v>0.99995206252773905</v>
      </c>
    </row>
    <row r="589" spans="1:8" s="227" customFormat="1">
      <c r="A589" s="559" t="s">
        <v>2795</v>
      </c>
      <c r="B589" s="561" t="s">
        <v>2739</v>
      </c>
      <c r="C589" s="619" t="s">
        <v>167</v>
      </c>
      <c r="D589" s="563">
        <v>1</v>
      </c>
      <c r="E589" s="192">
        <v>36.61</v>
      </c>
      <c r="F589" s="250">
        <v>3.6854844904136718E-6</v>
      </c>
      <c r="H589" s="401">
        <f t="shared" si="8"/>
        <v>0.99995574801222942</v>
      </c>
    </row>
    <row r="590" spans="1:8" s="227" customFormat="1">
      <c r="A590" s="559" t="s">
        <v>820</v>
      </c>
      <c r="B590" s="561" t="s">
        <v>821</v>
      </c>
      <c r="C590" s="619" t="s">
        <v>167</v>
      </c>
      <c r="D590" s="563">
        <v>3</v>
      </c>
      <c r="E590" s="192">
        <v>36.29</v>
      </c>
      <c r="F590" s="250">
        <v>3.6532704768399931E-6</v>
      </c>
      <c r="H590" s="401">
        <f t="shared" si="8"/>
        <v>0.99995940128270622</v>
      </c>
    </row>
    <row r="591" spans="1:8" s="227" customFormat="1">
      <c r="A591" s="559" t="s">
        <v>822</v>
      </c>
      <c r="B591" s="561" t="s">
        <v>823</v>
      </c>
      <c r="C591" s="619" t="s">
        <v>167</v>
      </c>
      <c r="D591" s="563">
        <v>3</v>
      </c>
      <c r="E591" s="192">
        <v>35.51</v>
      </c>
      <c r="F591" s="250">
        <v>3.5747488187541512E-6</v>
      </c>
      <c r="H591" s="401">
        <f t="shared" si="8"/>
        <v>0.99996297603152495</v>
      </c>
    </row>
    <row r="592" spans="1:8" s="227" customFormat="1" ht="14.45" customHeight="1">
      <c r="A592" s="535" t="s">
        <v>2822</v>
      </c>
      <c r="B592" s="536" t="s">
        <v>2808</v>
      </c>
      <c r="C592" s="519" t="s">
        <v>1932</v>
      </c>
      <c r="D592" s="519">
        <v>2</v>
      </c>
      <c r="E592" s="192">
        <v>33.71</v>
      </c>
      <c r="F592" s="250">
        <v>3.3935449924022093E-6</v>
      </c>
      <c r="H592" s="401">
        <f t="shared" si="8"/>
        <v>0.9999663695765173</v>
      </c>
    </row>
    <row r="593" spans="1:8" s="227" customFormat="1">
      <c r="A593" s="535" t="s">
        <v>2782</v>
      </c>
      <c r="B593" s="536" t="s">
        <v>2722</v>
      </c>
      <c r="C593" s="519" t="s">
        <v>167</v>
      </c>
      <c r="D593" s="519">
        <v>1</v>
      </c>
      <c r="E593" s="192">
        <v>31.68</v>
      </c>
      <c r="F593" s="250">
        <v>3.1891873437941851E-6</v>
      </c>
      <c r="H593" s="401">
        <f t="shared" si="8"/>
        <v>0.99996955876386107</v>
      </c>
    </row>
    <row r="594" spans="1:8" s="227" customFormat="1">
      <c r="A594" s="559" t="s">
        <v>2783</v>
      </c>
      <c r="B594" s="561" t="s">
        <v>2723</v>
      </c>
      <c r="C594" s="619" t="s">
        <v>167</v>
      </c>
      <c r="D594" s="563">
        <v>1</v>
      </c>
      <c r="E594" s="192">
        <v>31.68</v>
      </c>
      <c r="F594" s="250">
        <v>3.1891873437941851E-6</v>
      </c>
      <c r="H594" s="401">
        <f t="shared" si="8"/>
        <v>0.99997274795120483</v>
      </c>
    </row>
    <row r="595" spans="1:8" s="227" customFormat="1">
      <c r="A595" s="559" t="s">
        <v>2821</v>
      </c>
      <c r="B595" s="561" t="s">
        <v>2807</v>
      </c>
      <c r="C595" s="619" t="s">
        <v>1932</v>
      </c>
      <c r="D595" s="563">
        <v>2</v>
      </c>
      <c r="E595" s="192">
        <v>28.04</v>
      </c>
      <c r="F595" s="250">
        <v>2.8227529393935908E-6</v>
      </c>
      <c r="H595" s="401">
        <f t="shared" si="8"/>
        <v>0.99997557070414422</v>
      </c>
    </row>
    <row r="596" spans="1:8" s="227" customFormat="1">
      <c r="A596" s="559" t="s">
        <v>2823</v>
      </c>
      <c r="B596" s="561" t="s">
        <v>2809</v>
      </c>
      <c r="C596" s="562" t="s">
        <v>1932</v>
      </c>
      <c r="D596" s="563">
        <v>2</v>
      </c>
      <c r="E596" s="192">
        <v>25.14</v>
      </c>
      <c r="F596" s="250">
        <v>2.5308134413821283E-6</v>
      </c>
      <c r="H596" s="401">
        <f t="shared" si="8"/>
        <v>0.99997810151758559</v>
      </c>
    </row>
    <row r="597" spans="1:8" s="227" customFormat="1">
      <c r="A597" s="519" t="s">
        <v>810</v>
      </c>
      <c r="B597" s="536" t="s">
        <v>811</v>
      </c>
      <c r="C597" s="519" t="s">
        <v>167</v>
      </c>
      <c r="D597" s="519">
        <v>2</v>
      </c>
      <c r="E597" s="192">
        <v>24.05</v>
      </c>
      <c r="F597" s="250">
        <v>2.4210844576467853E-6</v>
      </c>
      <c r="H597" s="401">
        <f t="shared" si="8"/>
        <v>0.99998052260204329</v>
      </c>
    </row>
    <row r="598" spans="1:8" s="227" customFormat="1">
      <c r="A598" s="559" t="s">
        <v>1863</v>
      </c>
      <c r="B598" s="561" t="s">
        <v>2556</v>
      </c>
      <c r="C598" s="619" t="s">
        <v>150</v>
      </c>
      <c r="D598" s="563">
        <v>0.5</v>
      </c>
      <c r="E598" s="192">
        <v>22.33</v>
      </c>
      <c r="F598" s="250">
        <v>2.2479341346882622E-6</v>
      </c>
      <c r="H598" s="401">
        <f t="shared" si="8"/>
        <v>0.99998277053617801</v>
      </c>
    </row>
    <row r="599" spans="1:8" s="227" customFormat="1">
      <c r="A599" s="535" t="s">
        <v>2827</v>
      </c>
      <c r="B599" s="537" t="s">
        <v>2813</v>
      </c>
      <c r="C599" s="519" t="s">
        <v>1932</v>
      </c>
      <c r="D599" s="519">
        <v>1</v>
      </c>
      <c r="E599" s="192">
        <v>21.4</v>
      </c>
      <c r="F599" s="250">
        <v>2.1543121577397586E-6</v>
      </c>
      <c r="H599" s="401">
        <f t="shared" si="8"/>
        <v>0.99998492484833579</v>
      </c>
    </row>
    <row r="600" spans="1:8" s="227" customFormat="1">
      <c r="A600" s="535" t="s">
        <v>2820</v>
      </c>
      <c r="B600" s="537" t="s">
        <v>2806</v>
      </c>
      <c r="C600" s="519" t="s">
        <v>1932</v>
      </c>
      <c r="D600" s="519">
        <v>5</v>
      </c>
      <c r="E600" s="192">
        <v>19.75</v>
      </c>
      <c r="F600" s="250">
        <v>1.9882086502504783E-6</v>
      </c>
      <c r="H600" s="401">
        <f t="shared" si="8"/>
        <v>0.99998691305698606</v>
      </c>
    </row>
    <row r="601" spans="1:8" s="227" customFormat="1">
      <c r="A601" s="559" t="s">
        <v>2769</v>
      </c>
      <c r="B601" s="561" t="s">
        <v>2708</v>
      </c>
      <c r="C601" s="619" t="s">
        <v>180</v>
      </c>
      <c r="D601" s="563">
        <v>3</v>
      </c>
      <c r="E601" s="192">
        <v>18.93</v>
      </c>
      <c r="F601" s="250">
        <v>1.9056602404679268E-6</v>
      </c>
      <c r="H601" s="401">
        <f t="shared" si="8"/>
        <v>0.99998881871722656</v>
      </c>
    </row>
    <row r="602" spans="1:8" s="227" customFormat="1">
      <c r="A602" s="535" t="s">
        <v>2944</v>
      </c>
      <c r="B602" s="536" t="s">
        <v>2926</v>
      </c>
      <c r="C602" s="519" t="s">
        <v>1932</v>
      </c>
      <c r="D602" s="519">
        <v>1</v>
      </c>
      <c r="E602" s="192">
        <v>18.149999999999999</v>
      </c>
      <c r="F602" s="250">
        <v>1.8271385823820852E-6</v>
      </c>
      <c r="H602" s="401">
        <f t="shared" si="8"/>
        <v>0.99999064585580899</v>
      </c>
    </row>
    <row r="603" spans="1:8" s="227" customFormat="1">
      <c r="A603" s="559" t="s">
        <v>1839</v>
      </c>
      <c r="B603" s="561" t="s">
        <v>2554</v>
      </c>
      <c r="C603" s="619" t="s">
        <v>150</v>
      </c>
      <c r="D603" s="563">
        <v>0.5</v>
      </c>
      <c r="E603" s="192">
        <v>17.05</v>
      </c>
      <c r="F603" s="250">
        <v>1.716402910722565E-6</v>
      </c>
      <c r="H603" s="401">
        <f t="shared" si="8"/>
        <v>0.99999236225871968</v>
      </c>
    </row>
    <row r="604" spans="1:8" s="227" customFormat="1">
      <c r="A604" s="559" t="s">
        <v>2774</v>
      </c>
      <c r="B604" s="561" t="s">
        <v>2713</v>
      </c>
      <c r="C604" s="619" t="s">
        <v>167</v>
      </c>
      <c r="D604" s="563">
        <v>1</v>
      </c>
      <c r="E604" s="192">
        <v>15.74</v>
      </c>
      <c r="F604" s="250">
        <v>1.5845267926553181E-6</v>
      </c>
      <c r="H604" s="401">
        <f t="shared" si="8"/>
        <v>0.99999394678551234</v>
      </c>
    </row>
    <row r="605" spans="1:8" s="227" customFormat="1">
      <c r="A605" s="559" t="s">
        <v>1690</v>
      </c>
      <c r="B605" s="561" t="s">
        <v>2552</v>
      </c>
      <c r="C605" s="619" t="s">
        <v>253</v>
      </c>
      <c r="D605" s="563">
        <v>0.5</v>
      </c>
      <c r="E605" s="192">
        <v>15.35</v>
      </c>
      <c r="F605" s="250">
        <v>1.5452659636123971E-6</v>
      </c>
      <c r="H605" s="401">
        <f t="shared" si="8"/>
        <v>0.99999549205147598</v>
      </c>
    </row>
    <row r="606" spans="1:8" s="227" customFormat="1">
      <c r="A606" s="559" t="s">
        <v>2825</v>
      </c>
      <c r="B606" s="561" t="s">
        <v>2811</v>
      </c>
      <c r="C606" s="562" t="s">
        <v>1932</v>
      </c>
      <c r="D606" s="563">
        <v>3</v>
      </c>
      <c r="E606" s="192">
        <v>14.23</v>
      </c>
      <c r="F606" s="250">
        <v>1.432516916104522E-6</v>
      </c>
      <c r="H606" s="401">
        <f t="shared" si="8"/>
        <v>0.99999692456839206</v>
      </c>
    </row>
    <row r="607" spans="1:8" s="227" customFormat="1">
      <c r="A607" s="515" t="s">
        <v>2754</v>
      </c>
      <c r="B607" s="518" t="s">
        <v>2688</v>
      </c>
      <c r="C607" s="519" t="s">
        <v>1171</v>
      </c>
      <c r="D607" s="519">
        <v>0.71939999999999993</v>
      </c>
      <c r="E607" s="192">
        <v>13.17</v>
      </c>
      <c r="F607" s="250">
        <v>1.3258079961417114E-6</v>
      </c>
      <c r="H607" s="401">
        <f t="shared" si="8"/>
        <v>0.99999825037638823</v>
      </c>
    </row>
    <row r="608" spans="1:8" s="227" customFormat="1">
      <c r="A608" s="535" t="s">
        <v>2888</v>
      </c>
      <c r="B608" s="537" t="s">
        <v>2861</v>
      </c>
      <c r="C608" s="519" t="s">
        <v>2184</v>
      </c>
      <c r="D608" s="519">
        <v>1.8800000000000001</v>
      </c>
      <c r="E608" s="192">
        <v>7.54</v>
      </c>
      <c r="F608" s="250">
        <v>7.5904269482980295E-7</v>
      </c>
      <c r="H608" s="401">
        <f t="shared" si="8"/>
        <v>0.99999900941908304</v>
      </c>
    </row>
    <row r="609" spans="1:8" s="227" customFormat="1">
      <c r="A609" s="559" t="s">
        <v>2826</v>
      </c>
      <c r="B609" s="561" t="s">
        <v>2812</v>
      </c>
      <c r="C609" s="619" t="s">
        <v>1932</v>
      </c>
      <c r="D609" s="563">
        <v>1</v>
      </c>
      <c r="E609" s="192">
        <v>5.0999999999999996</v>
      </c>
      <c r="F609" s="250">
        <v>5.1341084133050323E-7</v>
      </c>
      <c r="H609" s="401">
        <f t="shared" si="8"/>
        <v>0.99999952282992433</v>
      </c>
    </row>
    <row r="610" spans="1:8" s="227" customFormat="1">
      <c r="A610" s="559" t="s">
        <v>2824</v>
      </c>
      <c r="B610" s="561" t="s">
        <v>2810</v>
      </c>
      <c r="C610" s="619" t="s">
        <v>1932</v>
      </c>
      <c r="D610" s="563">
        <v>1</v>
      </c>
      <c r="E610" s="192">
        <v>4.74</v>
      </c>
      <c r="F610" s="250">
        <v>4.7717007606011482E-7</v>
      </c>
      <c r="H610" s="401">
        <f t="shared" si="8"/>
        <v>1.0000000000000004</v>
      </c>
    </row>
    <row r="611" spans="1:8">
      <c r="A611" s="584"/>
      <c r="B611" s="585"/>
      <c r="C611" s="586"/>
      <c r="D611" s="511"/>
      <c r="F611" s="115"/>
      <c r="H611" s="14"/>
    </row>
    <row r="612" spans="1:8" ht="18" customHeight="1">
      <c r="A612" s="779" t="s">
        <v>1259</v>
      </c>
      <c r="B612" s="780"/>
      <c r="C612" s="780"/>
      <c r="D612" s="781"/>
      <c r="E612" s="117">
        <f>SUM(E18:E610)</f>
        <v>9933565.0700000003</v>
      </c>
      <c r="F612" s="118">
        <f>SUM(F18:F610)</f>
        <v>1.0000000000000004</v>
      </c>
      <c r="H612" s="14"/>
    </row>
    <row r="613" spans="1:8">
      <c r="C613" s="13"/>
      <c r="F613" s="115"/>
      <c r="H613" s="14"/>
    </row>
    <row r="614" spans="1:8">
      <c r="A614"/>
      <c r="B614"/>
      <c r="C614"/>
      <c r="D614"/>
      <c r="E614"/>
      <c r="F614"/>
      <c r="H614" s="14"/>
    </row>
    <row r="625" spans="3:9">
      <c r="C625"/>
      <c r="D625"/>
      <c r="E625"/>
      <c r="F625"/>
      <c r="G625"/>
      <c r="H625"/>
      <c r="I625" s="230"/>
    </row>
    <row r="626" spans="3:9">
      <c r="C626"/>
      <c r="D626"/>
      <c r="E626"/>
      <c r="F626"/>
      <c r="G626"/>
      <c r="H626"/>
    </row>
    <row r="627" spans="3:9">
      <c r="C627"/>
      <c r="D627"/>
      <c r="E627"/>
      <c r="F627"/>
      <c r="G627"/>
      <c r="H627"/>
    </row>
    <row r="628" spans="3:9">
      <c r="C628"/>
      <c r="D628"/>
      <c r="E628"/>
      <c r="F628"/>
      <c r="G628"/>
      <c r="H628"/>
    </row>
    <row r="629" spans="3:9">
      <c r="C629"/>
      <c r="D629"/>
      <c r="E629"/>
      <c r="F629"/>
      <c r="G629"/>
      <c r="H629"/>
    </row>
    <row r="630" spans="3:9">
      <c r="C630"/>
      <c r="D630"/>
      <c r="E630"/>
      <c r="F630"/>
      <c r="G630"/>
      <c r="H630"/>
    </row>
  </sheetData>
  <sheetProtection autoFilter="0"/>
  <autoFilter ref="A17:F130" xr:uid="{00000000-0009-0000-0000-000005000000}">
    <sortState xmlns:xlrd2="http://schemas.microsoft.com/office/spreadsheetml/2017/richdata2" ref="A18:F610">
      <sortCondition descending="1" ref="F17:F130"/>
    </sortState>
  </autoFilter>
  <mergeCells count="17">
    <mergeCell ref="E14:H14"/>
    <mergeCell ref="C11:D11"/>
    <mergeCell ref="C12:D12"/>
    <mergeCell ref="A9:H9"/>
    <mergeCell ref="A612:D612"/>
    <mergeCell ref="E11:H11"/>
    <mergeCell ref="E12:H12"/>
    <mergeCell ref="C13:D13"/>
    <mergeCell ref="E13:H13"/>
    <mergeCell ref="C14:D14"/>
    <mergeCell ref="B2:D2"/>
    <mergeCell ref="B3:D3"/>
    <mergeCell ref="B4:D4"/>
    <mergeCell ref="B5:D5"/>
    <mergeCell ref="E10:H10"/>
    <mergeCell ref="A7:H7"/>
    <mergeCell ref="C10:D10"/>
  </mergeCells>
  <conditionalFormatting sqref="H18:H610">
    <cfRule type="colorScale" priority="774">
      <colorScale>
        <cfvo type="min"/>
        <cfvo type="percentile" val="50"/>
        <cfvo type="max"/>
        <color rgb="FFF8696B"/>
        <color rgb="FFFFEB84"/>
        <color rgb="FF63BE7B"/>
      </colorScale>
    </cfRule>
  </conditionalFormatting>
  <conditionalFormatting sqref="H611:H614">
    <cfRule type="colorScale" priority="30">
      <colorScale>
        <cfvo type="min"/>
        <cfvo type="percentile" val="50"/>
        <cfvo type="max"/>
        <color rgb="FFF8696B"/>
        <color rgb="FFFFEB84"/>
        <color rgb="FF63BE7B"/>
      </colorScale>
    </cfRule>
  </conditionalFormatting>
  <printOptions horizontalCentered="1"/>
  <pageMargins left="0.6692913385826772" right="0.6692913385826772" top="0.78740157480314965" bottom="0.78740157480314965" header="0.31496062992125984" footer="0.31496062992125984"/>
  <pageSetup paperSize="9" scale="57" fitToHeight="0" orientation="landscape" r:id="rId1"/>
  <headerFooter>
    <oddFooter>&amp;R&amp;P/&amp;N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826"/>
  <sheetViews>
    <sheetView showGridLines="0" topLeftCell="D5" zoomScaleNormal="100" zoomScaleSheetLayoutView="100" workbookViewId="0">
      <selection activeCell="F13" sqref="F13:R14"/>
    </sheetView>
  </sheetViews>
  <sheetFormatPr defaultColWidth="9.140625" defaultRowHeight="15"/>
  <cols>
    <col min="1" max="1" width="15.85546875" style="20" customWidth="1"/>
    <col min="2" max="2" width="60" style="17" customWidth="1"/>
    <col min="3" max="17" width="13.42578125" style="21" customWidth="1"/>
    <col min="18" max="18" width="16.140625" style="22" customWidth="1"/>
    <col min="19" max="19" width="4.85546875" style="17" hidden="1" customWidth="1"/>
    <col min="20" max="20" width="0" style="262" hidden="1" customWidth="1"/>
    <col min="21" max="16384" width="9.140625" style="17"/>
  </cols>
  <sheetData>
    <row r="1" spans="1:20" ht="4.5" customHeight="1">
      <c r="A1" s="52"/>
      <c r="B1" s="53"/>
      <c r="C1" s="53"/>
      <c r="D1" s="53"/>
      <c r="E1" s="53"/>
      <c r="F1" s="53"/>
      <c r="G1" s="53"/>
      <c r="H1" s="53"/>
      <c r="I1" s="53"/>
      <c r="J1" s="53"/>
      <c r="K1" s="53"/>
      <c r="L1" s="53"/>
      <c r="M1" s="53"/>
      <c r="N1" s="53"/>
      <c r="O1" s="606"/>
      <c r="P1" s="606"/>
      <c r="Q1" s="606"/>
      <c r="R1" s="54"/>
    </row>
    <row r="2" spans="1:20" ht="30" customHeight="1">
      <c r="A2" s="136" t="str">
        <f>'Planilha Orçamentária'!A2</f>
        <v>CONTRATANTE:</v>
      </c>
      <c r="B2" s="376" t="str">
        <f>IF('Planilha Orçamentária'!B2="","",'Planilha Orçamentária'!B2)</f>
        <v>CÂMARA MUNICIPAL DE BELO HORIZONTE</v>
      </c>
      <c r="C2" s="377"/>
      <c r="D2" s="377"/>
      <c r="E2" s="377"/>
      <c r="F2" s="377"/>
      <c r="G2" s="464"/>
      <c r="H2" s="485"/>
      <c r="I2" s="485"/>
      <c r="J2" s="378"/>
      <c r="K2" s="410"/>
      <c r="L2" s="410"/>
      <c r="M2" s="410"/>
      <c r="N2" s="256"/>
      <c r="O2" s="607"/>
      <c r="P2" s="607"/>
      <c r="Q2" s="607"/>
      <c r="R2" s="55"/>
    </row>
    <row r="3" spans="1:20" ht="30" customHeight="1">
      <c r="A3" s="137" t="str">
        <f>'Planilha Orçamentária'!A3</f>
        <v>PROJETO:</v>
      </c>
      <c r="B3" s="376" t="str">
        <f>IF('Planilha Orçamentária'!B3="","",'Planilha Orçamentária'!B3)</f>
        <v>ADEQUAÇÃO DA SUBESTAÇÃO DA CÂMARA MUNICIPAL BH | REFORMA DAS INSTALAÇÕES ELÉTRICAS E DE AR CONDICIONADO DO PRÉDIO ANEXO</v>
      </c>
      <c r="C3" s="377"/>
      <c r="D3" s="377"/>
      <c r="E3" s="377"/>
      <c r="F3" s="377"/>
      <c r="G3" s="464"/>
      <c r="H3" s="486"/>
      <c r="I3" s="486"/>
      <c r="J3" s="379"/>
      <c r="K3" s="411"/>
      <c r="L3" s="411"/>
      <c r="M3" s="411"/>
      <c r="N3" s="380"/>
      <c r="O3" s="380"/>
      <c r="P3" s="380"/>
      <c r="Q3" s="380"/>
      <c r="R3" s="56"/>
    </row>
    <row r="4" spans="1:20" ht="30" customHeight="1">
      <c r="A4" s="138" t="str">
        <f>'Planilha Orçamentária'!A4</f>
        <v>ENDEREÇO:</v>
      </c>
      <c r="B4" s="376" t="str">
        <f>IF('Planilha Orçamentária'!B4="","",'Planilha Orçamentária'!B4)</f>
        <v>AV. DOS ANDRADAS Nº 3100, BAIRRO SANTA EFIGÊNIA - BELO HORIZONTE/ MG</v>
      </c>
      <c r="C4" s="201"/>
      <c r="D4" s="201"/>
      <c r="E4" s="201"/>
      <c r="F4" s="201"/>
      <c r="G4" s="465"/>
      <c r="H4" s="487"/>
      <c r="I4" s="487"/>
      <c r="J4" s="381"/>
      <c r="K4" s="412"/>
      <c r="L4" s="412"/>
      <c r="M4" s="412"/>
      <c r="N4" s="382"/>
      <c r="O4" s="382"/>
      <c r="P4" s="382"/>
      <c r="Q4" s="382"/>
      <c r="R4" s="56"/>
    </row>
    <row r="5" spans="1:20" ht="30" customHeight="1">
      <c r="A5" s="150" t="str">
        <f>'Planilha Orçamentária'!A5</f>
        <v>ETAPA:</v>
      </c>
      <c r="B5" s="375" t="str">
        <f>IF('Planilha Orçamentária'!B5="","",'Planilha Orçamentária'!B5)</f>
        <v>ORÇAMENTO</v>
      </c>
      <c r="C5" s="201"/>
      <c r="D5" s="201"/>
      <c r="E5" s="201"/>
      <c r="F5" s="201"/>
      <c r="G5" s="465"/>
      <c r="H5" s="488"/>
      <c r="I5" s="488"/>
      <c r="J5" s="383"/>
      <c r="K5" s="413"/>
      <c r="L5" s="413"/>
      <c r="M5" s="413"/>
      <c r="N5" s="257"/>
      <c r="O5" s="257"/>
      <c r="P5" s="257"/>
      <c r="Q5" s="257"/>
      <c r="R5" s="57"/>
    </row>
    <row r="6" spans="1:20" ht="4.5" customHeight="1">
      <c r="A6" s="52"/>
      <c r="B6" s="53"/>
      <c r="C6" s="53"/>
      <c r="D6" s="53"/>
      <c r="E6" s="53"/>
      <c r="F6" s="53"/>
      <c r="G6" s="53"/>
      <c r="H6" s="53"/>
      <c r="I6" s="53"/>
      <c r="J6" s="53"/>
      <c r="K6" s="53"/>
      <c r="L6" s="53"/>
      <c r="M6" s="53"/>
      <c r="N6" s="53"/>
      <c r="O6" s="606"/>
      <c r="P6" s="606"/>
      <c r="Q6" s="606"/>
      <c r="R6" s="54"/>
    </row>
    <row r="7" spans="1:20" ht="33" customHeight="1">
      <c r="A7" s="791" t="s">
        <v>1260</v>
      </c>
      <c r="B7" s="792"/>
      <c r="C7" s="792"/>
      <c r="D7" s="792"/>
      <c r="E7" s="792"/>
      <c r="F7" s="792"/>
      <c r="G7" s="792"/>
      <c r="H7" s="792"/>
      <c r="I7" s="792"/>
      <c r="J7" s="792"/>
      <c r="K7" s="792"/>
      <c r="L7" s="792"/>
      <c r="M7" s="792"/>
      <c r="N7" s="792"/>
      <c r="O7" s="793"/>
      <c r="P7" s="793"/>
      <c r="Q7" s="793"/>
      <c r="R7" s="794"/>
    </row>
    <row r="8" spans="1:20" ht="4.5" customHeight="1">
      <c r="A8" s="52"/>
      <c r="B8" s="53"/>
      <c r="C8" s="53"/>
      <c r="D8" s="53"/>
      <c r="E8" s="53"/>
      <c r="F8" s="53"/>
      <c r="G8" s="53"/>
      <c r="H8" s="53"/>
      <c r="I8" s="53"/>
      <c r="J8" s="53"/>
      <c r="K8" s="53"/>
      <c r="L8" s="53"/>
      <c r="M8" s="53"/>
      <c r="N8" s="53"/>
      <c r="O8" s="606"/>
      <c r="P8" s="606"/>
      <c r="Q8" s="606"/>
      <c r="R8" s="54"/>
    </row>
    <row r="9" spans="1:20" ht="19.5" customHeight="1">
      <c r="A9" s="801" t="s">
        <v>17</v>
      </c>
      <c r="B9" s="801"/>
      <c r="C9" s="801"/>
      <c r="D9" s="801"/>
      <c r="E9" s="801"/>
      <c r="F9" s="801"/>
      <c r="G9" s="801"/>
      <c r="H9" s="801"/>
      <c r="I9" s="801"/>
      <c r="J9" s="801"/>
      <c r="K9" s="801"/>
      <c r="L9" s="801"/>
      <c r="M9" s="801"/>
      <c r="N9" s="801"/>
      <c r="O9" s="802"/>
      <c r="P9" s="802"/>
      <c r="Q9" s="802"/>
      <c r="R9" s="801"/>
    </row>
    <row r="10" spans="1:20" ht="19.5" customHeight="1">
      <c r="A10" s="280" t="str">
        <f>'Planilha Orçamentária'!A10</f>
        <v>VERSÃO</v>
      </c>
      <c r="B10" s="787" t="str">
        <f>'Planilha Orçamentária'!C10</f>
        <v xml:space="preserve">DESCRIÇÃO E/OU FOLHAS ALTERADAS </v>
      </c>
      <c r="C10" s="788"/>
      <c r="D10" s="787" t="str">
        <f>'Planilha Orçamentária'!E10</f>
        <v>DATA</v>
      </c>
      <c r="E10" s="788"/>
      <c r="F10" s="787" t="str">
        <f>'Planilha Orçamentária'!G10</f>
        <v>ATUALIZAÇÃO</v>
      </c>
      <c r="G10" s="799"/>
      <c r="H10" s="799"/>
      <c r="I10" s="799"/>
      <c r="J10" s="799"/>
      <c r="K10" s="799"/>
      <c r="L10" s="799"/>
      <c r="M10" s="799"/>
      <c r="N10" s="799"/>
      <c r="O10" s="800"/>
      <c r="P10" s="800"/>
      <c r="Q10" s="800"/>
      <c r="R10" s="788"/>
    </row>
    <row r="11" spans="1:20" ht="19.5" customHeight="1">
      <c r="A11" s="279" t="str">
        <f>IF('Planilha Orçamentária'!A11="","",'Planilha Orçamentária'!A11)</f>
        <v>R0</v>
      </c>
      <c r="B11" s="783" t="str">
        <f>IF('Planilha Orçamentária'!C11="","",'Planilha Orçamentária'!C11)</f>
        <v>Atendendo à Comentários</v>
      </c>
      <c r="C11" s="786"/>
      <c r="D11" s="789">
        <f>IF('Planilha Orçamentária'!E11="","",'Planilha Orçamentária'!E11)</f>
        <v>45427</v>
      </c>
      <c r="E11" s="790"/>
      <c r="F11" s="783" t="str">
        <f>IF('Planilha Orçamentária'!G11="","",'Planilha Orçamentária'!G11)</f>
        <v>Grazielle Cruz/ Marcelo F. Pereira</v>
      </c>
      <c r="G11" s="784"/>
      <c r="H11" s="784"/>
      <c r="I11" s="784"/>
      <c r="J11" s="784"/>
      <c r="K11" s="784"/>
      <c r="L11" s="784"/>
      <c r="M11" s="784"/>
      <c r="N11" s="784"/>
      <c r="O11" s="785"/>
      <c r="P11" s="785"/>
      <c r="Q11" s="785"/>
      <c r="R11" s="786"/>
    </row>
    <row r="12" spans="1:20" ht="19.5" customHeight="1">
      <c r="A12" s="279" t="str">
        <f>IF('Planilha Orçamentária'!A12="","",'Planilha Orçamentária'!A12)</f>
        <v>R8</v>
      </c>
      <c r="B12" s="783" t="str">
        <f>IF('Planilha Orçamentária'!C12="","",'Planilha Orçamentária'!C12)</f>
        <v>Atendendo à Comentários</v>
      </c>
      <c r="C12" s="786"/>
      <c r="D12" s="789">
        <f>IF('Planilha Orçamentária'!E12="","",'Planilha Orçamentária'!E12)</f>
        <v>45496</v>
      </c>
      <c r="E12" s="790"/>
      <c r="F12" s="783" t="str">
        <f>IF('Planilha Orçamentária'!G12="","",'Planilha Orçamentária'!G12)</f>
        <v>Grazielle Cruz/ Marcelo F. Pereira</v>
      </c>
      <c r="G12" s="784"/>
      <c r="H12" s="784"/>
      <c r="I12" s="784"/>
      <c r="J12" s="784"/>
      <c r="K12" s="784"/>
      <c r="L12" s="784"/>
      <c r="M12" s="784"/>
      <c r="N12" s="784"/>
      <c r="O12" s="785"/>
      <c r="P12" s="785"/>
      <c r="Q12" s="785"/>
      <c r="R12" s="786"/>
    </row>
    <row r="13" spans="1:20" ht="19.5" customHeight="1">
      <c r="A13" s="279" t="str">
        <f>IF('Planilha Orçamentária'!A13="","",'Planilha Orçamentária'!A13)</f>
        <v>R9</v>
      </c>
      <c r="B13" s="783" t="str">
        <f>IF('Planilha Orçamentária'!C13="","",'Planilha Orçamentária'!C13)</f>
        <v>Atendendo à Comentários</v>
      </c>
      <c r="C13" s="786"/>
      <c r="D13" s="789">
        <f>IF('Planilha Orçamentária'!E13="","",'Planilha Orçamentária'!E13)</f>
        <v>45504</v>
      </c>
      <c r="E13" s="790"/>
      <c r="F13" s="783" t="str">
        <f>IF('Planilha Orçamentária'!G13="","",'Planilha Orçamentária'!G13)</f>
        <v>Grazielle Cruz/ Marcelo F. Pereira</v>
      </c>
      <c r="G13" s="784"/>
      <c r="H13" s="784"/>
      <c r="I13" s="784"/>
      <c r="J13" s="784"/>
      <c r="K13" s="784"/>
      <c r="L13" s="784"/>
      <c r="M13" s="784"/>
      <c r="N13" s="784"/>
      <c r="O13" s="785"/>
      <c r="P13" s="785"/>
      <c r="Q13" s="785"/>
      <c r="R13" s="786"/>
    </row>
    <row r="14" spans="1:20" ht="19.5" customHeight="1">
      <c r="A14" s="279" t="str">
        <f>IF('Planilha Orçamentária'!A14="","",'Planilha Orçamentária'!A14)</f>
        <v>R12</v>
      </c>
      <c r="B14" s="783" t="str">
        <f>IF('Planilha Orçamentária'!C14="","",'Planilha Orçamentária'!C14)</f>
        <v>Correção de itens com BDI diferenciado</v>
      </c>
      <c r="C14" s="786"/>
      <c r="D14" s="789">
        <f>IF('Planilha Orçamentária'!E14="","",'Planilha Orçamentária'!E14)</f>
        <v>45569</v>
      </c>
      <c r="E14" s="790"/>
      <c r="F14" s="783" t="str">
        <f>IF('Planilha Orçamentária'!G14="","",'Planilha Orçamentária'!G14)</f>
        <v>Tainá Verona</v>
      </c>
      <c r="G14" s="784"/>
      <c r="H14" s="784"/>
      <c r="I14" s="784"/>
      <c r="J14" s="784"/>
      <c r="K14" s="784"/>
      <c r="L14" s="784"/>
      <c r="M14" s="784"/>
      <c r="N14" s="784"/>
      <c r="O14" s="785"/>
      <c r="P14" s="785"/>
      <c r="Q14" s="785"/>
      <c r="R14" s="786"/>
    </row>
    <row r="15" spans="1:20" ht="19.5" customHeight="1">
      <c r="A15" s="279"/>
      <c r="B15" s="281" t="s">
        <v>1261</v>
      </c>
      <c r="C15" s="273"/>
      <c r="D15" s="273"/>
      <c r="E15" s="273"/>
      <c r="F15" s="273"/>
      <c r="G15" s="273"/>
      <c r="H15" s="273"/>
      <c r="I15" s="273"/>
      <c r="J15" s="273"/>
      <c r="K15" s="273"/>
      <c r="L15" s="273"/>
      <c r="M15" s="273"/>
      <c r="N15" s="273"/>
      <c r="O15" s="608"/>
      <c r="P15" s="608"/>
      <c r="Q15" s="608"/>
      <c r="R15" s="288"/>
      <c r="S15" s="20"/>
    </row>
    <row r="16" spans="1:20" s="18" customFormat="1" ht="4.5" customHeight="1">
      <c r="A16" s="52"/>
      <c r="B16" s="53"/>
      <c r="C16" s="53"/>
      <c r="D16" s="53"/>
      <c r="E16" s="53"/>
      <c r="F16" s="53"/>
      <c r="G16" s="53"/>
      <c r="H16" s="53"/>
      <c r="I16" s="53"/>
      <c r="J16" s="53"/>
      <c r="K16" s="53"/>
      <c r="L16" s="53"/>
      <c r="M16" s="53"/>
      <c r="N16" s="53"/>
      <c r="O16" s="606"/>
      <c r="P16" s="606"/>
      <c r="Q16" s="606"/>
      <c r="R16" s="54"/>
      <c r="T16" s="263"/>
    </row>
    <row r="17" spans="1:20" ht="18" customHeight="1" thickBot="1">
      <c r="A17" s="795" t="s">
        <v>27</v>
      </c>
      <c r="B17" s="795" t="s">
        <v>1262</v>
      </c>
      <c r="C17" s="798" t="s">
        <v>1263</v>
      </c>
      <c r="D17" s="798"/>
      <c r="E17" s="798"/>
      <c r="F17" s="798"/>
      <c r="G17" s="798"/>
      <c r="H17" s="798"/>
      <c r="I17" s="798"/>
      <c r="J17" s="798"/>
      <c r="K17" s="798"/>
      <c r="L17" s="798"/>
      <c r="M17" s="798"/>
      <c r="N17" s="798"/>
      <c r="O17" s="609"/>
      <c r="P17" s="609"/>
      <c r="Q17" s="609"/>
      <c r="R17" s="795" t="s">
        <v>1264</v>
      </c>
    </row>
    <row r="18" spans="1:20" ht="18" customHeight="1" thickBot="1">
      <c r="A18" s="795"/>
      <c r="B18" s="795"/>
      <c r="C18" s="242" t="s">
        <v>1265</v>
      </c>
      <c r="D18" s="242" t="s">
        <v>1266</v>
      </c>
      <c r="E18" s="242" t="s">
        <v>1267</v>
      </c>
      <c r="F18" s="242" t="s">
        <v>1268</v>
      </c>
      <c r="G18" s="242" t="s">
        <v>1269</v>
      </c>
      <c r="H18" s="242" t="s">
        <v>1270</v>
      </c>
      <c r="I18" s="242" t="s">
        <v>1271</v>
      </c>
      <c r="J18" s="242" t="s">
        <v>1272</v>
      </c>
      <c r="K18" s="242" t="s">
        <v>1273</v>
      </c>
      <c r="L18" s="242" t="s">
        <v>1274</v>
      </c>
      <c r="M18" s="242" t="s">
        <v>1275</v>
      </c>
      <c r="N18" s="242" t="s">
        <v>1276</v>
      </c>
      <c r="O18" s="242" t="s">
        <v>2966</v>
      </c>
      <c r="P18" s="242" t="s">
        <v>2967</v>
      </c>
      <c r="Q18" s="242" t="s">
        <v>2968</v>
      </c>
      <c r="R18" s="795"/>
      <c r="T18" s="231">
        <f>COUNTA(C18:N18)</f>
        <v>12</v>
      </c>
    </row>
    <row r="19" spans="1:20" ht="15" customHeight="1">
      <c r="A19" s="795"/>
      <c r="B19" s="795"/>
      <c r="C19" s="239">
        <v>30</v>
      </c>
      <c r="D19" s="239">
        <v>60</v>
      </c>
      <c r="E19" s="239">
        <v>90</v>
      </c>
      <c r="F19" s="239">
        <v>120</v>
      </c>
      <c r="G19" s="239">
        <v>150</v>
      </c>
      <c r="H19" s="239">
        <v>180</v>
      </c>
      <c r="I19" s="239">
        <v>210</v>
      </c>
      <c r="J19" s="239">
        <v>240</v>
      </c>
      <c r="K19" s="239">
        <v>270</v>
      </c>
      <c r="L19" s="239">
        <v>300</v>
      </c>
      <c r="M19" s="239">
        <v>330</v>
      </c>
      <c r="N19" s="239">
        <v>360</v>
      </c>
      <c r="O19" s="239">
        <v>390</v>
      </c>
      <c r="P19" s="239">
        <v>420</v>
      </c>
      <c r="Q19" s="239">
        <v>450</v>
      </c>
      <c r="R19" s="795"/>
    </row>
    <row r="20" spans="1:20" ht="35.25" customHeight="1">
      <c r="A20" s="470">
        <v>1</v>
      </c>
      <c r="B20" s="470" t="s">
        <v>31</v>
      </c>
      <c r="C20" s="471">
        <f>C22+C24+C26+C28</f>
        <v>253978.30074999999</v>
      </c>
      <c r="D20" s="471">
        <f t="shared" ref="D20:Q20" si="0">D22+D24+D26+D28</f>
        <v>152374.42274999997</v>
      </c>
      <c r="E20" s="471">
        <f t="shared" si="0"/>
        <v>43276.387749999994</v>
      </c>
      <c r="F20" s="471">
        <f t="shared" si="0"/>
        <v>43276.387749999994</v>
      </c>
      <c r="G20" s="471">
        <f t="shared" si="0"/>
        <v>43276.387749999994</v>
      </c>
      <c r="H20" s="471">
        <f t="shared" si="0"/>
        <v>0</v>
      </c>
      <c r="I20" s="471">
        <f t="shared" si="0"/>
        <v>0</v>
      </c>
      <c r="J20" s="471">
        <f t="shared" si="0"/>
        <v>43276.387749999994</v>
      </c>
      <c r="K20" s="471">
        <f t="shared" si="0"/>
        <v>43276.387749999994</v>
      </c>
      <c r="L20" s="471">
        <f t="shared" si="0"/>
        <v>0</v>
      </c>
      <c r="M20" s="471">
        <f t="shared" si="0"/>
        <v>0</v>
      </c>
      <c r="N20" s="471">
        <f t="shared" si="0"/>
        <v>43276.387749999994</v>
      </c>
      <c r="O20" s="471">
        <f t="shared" si="0"/>
        <v>0</v>
      </c>
      <c r="P20" s="471">
        <f t="shared" si="0"/>
        <v>0</v>
      </c>
      <c r="Q20" s="471">
        <f t="shared" si="0"/>
        <v>0</v>
      </c>
      <c r="R20" s="472">
        <f>SUM(R21:R28)</f>
        <v>666011.04999999993</v>
      </c>
    </row>
    <row r="21" spans="1:20" ht="15" customHeight="1">
      <c r="A21" s="58" t="str">
        <f>'Planilha Orçamentária'!A19</f>
        <v>1.1</v>
      </c>
      <c r="B21" s="59" t="str">
        <f>VLOOKUP(A21,'Planilha Orçamentária'!$A$18:$L$68,4,0)</f>
        <v>INSTALAÇÃO DE OBRA</v>
      </c>
      <c r="C21" s="265">
        <v>0.16</v>
      </c>
      <c r="D21" s="265">
        <v>0.12</v>
      </c>
      <c r="E21" s="265">
        <v>0.12</v>
      </c>
      <c r="F21" s="265">
        <v>0.12</v>
      </c>
      <c r="G21" s="265">
        <v>0.12</v>
      </c>
      <c r="H21" s="265"/>
      <c r="I21" s="265"/>
      <c r="J21" s="265">
        <v>0.12</v>
      </c>
      <c r="K21" s="265">
        <v>0.12</v>
      </c>
      <c r="L21" s="265"/>
      <c r="M21" s="265"/>
      <c r="N21" s="265">
        <v>0.12</v>
      </c>
      <c r="O21" s="265"/>
      <c r="P21" s="265"/>
      <c r="Q21" s="265"/>
      <c r="R21" s="782">
        <f>'Planilha Resumo'!F19</f>
        <v>312904.95</v>
      </c>
      <c r="T21" s="264">
        <f>SUM(C21:N21)</f>
        <v>1</v>
      </c>
    </row>
    <row r="22" spans="1:20" ht="15" customHeight="1">
      <c r="A22" s="61"/>
      <c r="B22" s="61"/>
      <c r="C22" s="62">
        <f t="shared" ref="C22:K22" si="1">$R$21*C21</f>
        <v>50064.792000000001</v>
      </c>
      <c r="D22" s="62">
        <f t="shared" si="1"/>
        <v>37548.593999999997</v>
      </c>
      <c r="E22" s="62">
        <f t="shared" si="1"/>
        <v>37548.593999999997</v>
      </c>
      <c r="F22" s="62">
        <f t="shared" si="1"/>
        <v>37548.593999999997</v>
      </c>
      <c r="G22" s="62">
        <f t="shared" si="1"/>
        <v>37548.593999999997</v>
      </c>
      <c r="H22" s="62"/>
      <c r="I22" s="62"/>
      <c r="J22" s="62">
        <f t="shared" si="1"/>
        <v>37548.593999999997</v>
      </c>
      <c r="K22" s="62">
        <f t="shared" si="1"/>
        <v>37548.593999999997</v>
      </c>
      <c r="L22" s="62"/>
      <c r="M22" s="62"/>
      <c r="N22" s="62">
        <f>$R$21*N21</f>
        <v>37548.593999999997</v>
      </c>
      <c r="O22" s="62">
        <f t="shared" ref="O22:Q22" si="2">$R$21*O21</f>
        <v>0</v>
      </c>
      <c r="P22" s="62">
        <f t="shared" si="2"/>
        <v>0</v>
      </c>
      <c r="Q22" s="62">
        <f t="shared" si="2"/>
        <v>0</v>
      </c>
      <c r="R22" s="782"/>
    </row>
    <row r="23" spans="1:20" ht="15" customHeight="1">
      <c r="A23" s="58" t="s">
        <v>39</v>
      </c>
      <c r="B23" s="59" t="str">
        <f>'Planilha Resumo'!B23</f>
        <v>SERVIÇOS PRELIMINARES</v>
      </c>
      <c r="C23" s="265">
        <f>1/8</f>
        <v>0.125</v>
      </c>
      <c r="D23" s="265">
        <f t="shared" ref="D23:N23" si="3">1/8</f>
        <v>0.125</v>
      </c>
      <c r="E23" s="265">
        <f t="shared" si="3"/>
        <v>0.125</v>
      </c>
      <c r="F23" s="265">
        <f t="shared" si="3"/>
        <v>0.125</v>
      </c>
      <c r="G23" s="265">
        <f t="shared" si="3"/>
        <v>0.125</v>
      </c>
      <c r="H23" s="265"/>
      <c r="I23" s="265"/>
      <c r="J23" s="265">
        <f t="shared" si="3"/>
        <v>0.125</v>
      </c>
      <c r="K23" s="265">
        <f t="shared" si="3"/>
        <v>0.125</v>
      </c>
      <c r="L23" s="265"/>
      <c r="M23" s="265"/>
      <c r="N23" s="265">
        <f t="shared" si="3"/>
        <v>0.125</v>
      </c>
      <c r="O23" s="265"/>
      <c r="P23" s="265"/>
      <c r="Q23" s="265"/>
      <c r="R23" s="782">
        <f>'Planilha Resumo'!F23</f>
        <v>45822.35</v>
      </c>
      <c r="T23" s="264">
        <f>SUM(C23:N23)</f>
        <v>1</v>
      </c>
    </row>
    <row r="24" spans="1:20" ht="15" customHeight="1">
      <c r="A24" s="61"/>
      <c r="B24" s="61"/>
      <c r="C24" s="62">
        <f t="shared" ref="C24:K24" si="4">$R$23*C23</f>
        <v>5727.7937499999998</v>
      </c>
      <c r="D24" s="62">
        <f t="shared" si="4"/>
        <v>5727.7937499999998</v>
      </c>
      <c r="E24" s="62">
        <f t="shared" si="4"/>
        <v>5727.7937499999998</v>
      </c>
      <c r="F24" s="62">
        <f t="shared" si="4"/>
        <v>5727.7937499999998</v>
      </c>
      <c r="G24" s="62">
        <f t="shared" si="4"/>
        <v>5727.7937499999998</v>
      </c>
      <c r="H24" s="62"/>
      <c r="I24" s="62"/>
      <c r="J24" s="62">
        <f t="shared" si="4"/>
        <v>5727.7937499999998</v>
      </c>
      <c r="K24" s="62">
        <f t="shared" si="4"/>
        <v>5727.7937499999998</v>
      </c>
      <c r="L24" s="62"/>
      <c r="M24" s="62"/>
      <c r="N24" s="62">
        <f>$R$23*N23</f>
        <v>5727.7937499999998</v>
      </c>
      <c r="O24" s="62">
        <f t="shared" ref="O24:Q24" si="5">$R$23*O23</f>
        <v>0</v>
      </c>
      <c r="P24" s="62">
        <f t="shared" si="5"/>
        <v>0</v>
      </c>
      <c r="Q24" s="62">
        <f t="shared" si="5"/>
        <v>0</v>
      </c>
      <c r="R24" s="782"/>
    </row>
    <row r="25" spans="1:20" ht="15" customHeight="1">
      <c r="A25" s="58" t="s">
        <v>43</v>
      </c>
      <c r="B25" s="59" t="str">
        <f>VLOOKUP(A25,'Planilha Orçamentária'!$A$18:$L$68,4,0)</f>
        <v>INSTALAÇÕES ELÉTRICAS E SPDA</v>
      </c>
      <c r="C25" s="60">
        <v>0.65</v>
      </c>
      <c r="D25" s="60">
        <v>0.35</v>
      </c>
      <c r="E25" s="60"/>
      <c r="F25" s="60"/>
      <c r="G25" s="60"/>
      <c r="H25" s="60"/>
      <c r="I25" s="60"/>
      <c r="J25" s="60"/>
      <c r="K25" s="60"/>
      <c r="L25" s="60"/>
      <c r="M25" s="60"/>
      <c r="N25" s="60"/>
      <c r="O25" s="60"/>
      <c r="P25" s="60"/>
      <c r="Q25" s="60"/>
      <c r="R25" s="782">
        <f>'Planilha Resumo'!F26</f>
        <v>304901.09999999998</v>
      </c>
      <c r="T25" s="264">
        <f>SUM(C25:N25)</f>
        <v>1</v>
      </c>
    </row>
    <row r="26" spans="1:20" ht="15" customHeight="1">
      <c r="A26" s="61"/>
      <c r="B26" s="61"/>
      <c r="C26" s="62">
        <f t="shared" ref="C26:K26" si="6">$R$25*C25</f>
        <v>198185.715</v>
      </c>
      <c r="D26" s="62">
        <f t="shared" si="6"/>
        <v>106715.38499999998</v>
      </c>
      <c r="E26" s="62">
        <f t="shared" si="6"/>
        <v>0</v>
      </c>
      <c r="F26" s="62">
        <f t="shared" si="6"/>
        <v>0</v>
      </c>
      <c r="G26" s="62">
        <f t="shared" si="6"/>
        <v>0</v>
      </c>
      <c r="H26" s="62"/>
      <c r="I26" s="62"/>
      <c r="J26" s="62">
        <f t="shared" si="6"/>
        <v>0</v>
      </c>
      <c r="K26" s="62">
        <f t="shared" si="6"/>
        <v>0</v>
      </c>
      <c r="L26" s="62"/>
      <c r="M26" s="62"/>
      <c r="N26" s="62">
        <f>$R$25*N25</f>
        <v>0</v>
      </c>
      <c r="O26" s="62">
        <f t="shared" ref="O26:Q26" si="7">$R$25*O25</f>
        <v>0</v>
      </c>
      <c r="P26" s="62">
        <f t="shared" si="7"/>
        <v>0</v>
      </c>
      <c r="Q26" s="62">
        <f t="shared" si="7"/>
        <v>0</v>
      </c>
      <c r="R26" s="782"/>
    </row>
    <row r="27" spans="1:20" ht="15" customHeight="1">
      <c r="A27" s="58" t="s">
        <v>47</v>
      </c>
      <c r="B27" s="59" t="str">
        <f>VLOOKUP(A27,'Planilha Orçamentária'!$A$18:$L$68,4,0)</f>
        <v>COMPLEMENTAÇÃO DA OBRA</v>
      </c>
      <c r="C27" s="265"/>
      <c r="D27" s="265">
        <v>1</v>
      </c>
      <c r="E27" s="265"/>
      <c r="F27" s="265"/>
      <c r="G27" s="265"/>
      <c r="H27" s="265"/>
      <c r="I27" s="265"/>
      <c r="J27" s="265"/>
      <c r="K27" s="265"/>
      <c r="L27" s="265"/>
      <c r="M27" s="265"/>
      <c r="N27" s="265"/>
      <c r="O27" s="265"/>
      <c r="P27" s="265"/>
      <c r="Q27" s="265"/>
      <c r="R27" s="782">
        <f>'Planilha Resumo'!F29</f>
        <v>2382.65</v>
      </c>
      <c r="T27" s="264">
        <f>SUM(C27:N27)</f>
        <v>1</v>
      </c>
    </row>
    <row r="28" spans="1:20" ht="15" customHeight="1">
      <c r="A28" s="61"/>
      <c r="B28" s="61"/>
      <c r="C28" s="62">
        <f t="shared" ref="C28:K28" si="8">$R$27*C27</f>
        <v>0</v>
      </c>
      <c r="D28" s="62">
        <f t="shared" si="8"/>
        <v>2382.65</v>
      </c>
      <c r="E28" s="62">
        <f t="shared" si="8"/>
        <v>0</v>
      </c>
      <c r="F28" s="62">
        <f t="shared" si="8"/>
        <v>0</v>
      </c>
      <c r="G28" s="62">
        <f t="shared" si="8"/>
        <v>0</v>
      </c>
      <c r="H28" s="62"/>
      <c r="I28" s="62"/>
      <c r="J28" s="62">
        <f t="shared" si="8"/>
        <v>0</v>
      </c>
      <c r="K28" s="62">
        <f t="shared" si="8"/>
        <v>0</v>
      </c>
      <c r="L28" s="62"/>
      <c r="M28" s="62"/>
      <c r="N28" s="62">
        <f>$R$27*N27</f>
        <v>0</v>
      </c>
      <c r="O28" s="62">
        <f t="shared" ref="O28:Q28" si="9">$R$27*O27</f>
        <v>0</v>
      </c>
      <c r="P28" s="62">
        <f t="shared" si="9"/>
        <v>0</v>
      </c>
      <c r="Q28" s="62">
        <f t="shared" si="9"/>
        <v>0</v>
      </c>
      <c r="R28" s="782"/>
    </row>
    <row r="29" spans="1:20" ht="35.25" customHeight="1">
      <c r="A29" s="470">
        <v>2</v>
      </c>
      <c r="B29" s="470" t="s">
        <v>51</v>
      </c>
      <c r="C29" s="471">
        <f>C31+C33+C35+C37+C39</f>
        <v>215257.51799999998</v>
      </c>
      <c r="D29" s="471">
        <f t="shared" ref="D29:Q29" si="10">D31+D33+D35+D37+D39</f>
        <v>392518.61300000001</v>
      </c>
      <c r="E29" s="471">
        <f t="shared" si="10"/>
        <v>903628.75500000012</v>
      </c>
      <c r="F29" s="471">
        <f t="shared" si="10"/>
        <v>2400831.21</v>
      </c>
      <c r="G29" s="471">
        <f t="shared" si="10"/>
        <v>544830.89400000009</v>
      </c>
      <c r="H29" s="471">
        <f t="shared" si="10"/>
        <v>8283.74</v>
      </c>
      <c r="I29" s="471">
        <f t="shared" si="10"/>
        <v>0</v>
      </c>
      <c r="J29" s="471">
        <f t="shared" si="10"/>
        <v>0</v>
      </c>
      <c r="K29" s="471">
        <f t="shared" si="10"/>
        <v>0</v>
      </c>
      <c r="L29" s="471">
        <f t="shared" si="10"/>
        <v>0</v>
      </c>
      <c r="M29" s="471">
        <f t="shared" si="10"/>
        <v>0</v>
      </c>
      <c r="N29" s="471">
        <f t="shared" si="10"/>
        <v>0</v>
      </c>
      <c r="O29" s="471">
        <f t="shared" si="10"/>
        <v>0</v>
      </c>
      <c r="P29" s="471">
        <f t="shared" si="10"/>
        <v>0</v>
      </c>
      <c r="Q29" s="471">
        <f t="shared" si="10"/>
        <v>0</v>
      </c>
      <c r="R29" s="472">
        <f>SUM(R30:R39)</f>
        <v>4465350.7300000004</v>
      </c>
    </row>
    <row r="30" spans="1:20" ht="15" customHeight="1">
      <c r="A30" s="58" t="s">
        <v>52</v>
      </c>
      <c r="B30" s="59" t="str">
        <f>VLOOKUP(A30,'Planilha Orçamentária'!$A$69:$L$281,4,0)</f>
        <v>SERVIÇOS PRELIMINARES - CAG</v>
      </c>
      <c r="C30" s="265">
        <v>1</v>
      </c>
      <c r="D30" s="265"/>
      <c r="E30" s="265"/>
      <c r="F30" s="265"/>
      <c r="G30" s="265"/>
      <c r="H30" s="265"/>
      <c r="I30" s="265"/>
      <c r="J30" s="265"/>
      <c r="K30" s="265"/>
      <c r="L30" s="265"/>
      <c r="M30" s="265"/>
      <c r="N30" s="265"/>
      <c r="O30" s="265"/>
      <c r="P30" s="265"/>
      <c r="Q30" s="265"/>
      <c r="R30" s="782">
        <f>'Planilha Resumo'!F33</f>
        <v>206827.33</v>
      </c>
      <c r="T30" s="264">
        <f>SUM(C30:N30)</f>
        <v>1</v>
      </c>
    </row>
    <row r="31" spans="1:20" ht="15" customHeight="1">
      <c r="A31" s="61"/>
      <c r="B31" s="61"/>
      <c r="C31" s="62">
        <f t="shared" ref="C31:M31" si="11">$R$30*C30</f>
        <v>206827.33</v>
      </c>
      <c r="D31" s="62">
        <f t="shared" si="11"/>
        <v>0</v>
      </c>
      <c r="E31" s="62">
        <f t="shared" si="11"/>
        <v>0</v>
      </c>
      <c r="F31" s="62">
        <f t="shared" si="11"/>
        <v>0</v>
      </c>
      <c r="G31" s="62">
        <f t="shared" si="11"/>
        <v>0</v>
      </c>
      <c r="H31" s="62">
        <f t="shared" si="11"/>
        <v>0</v>
      </c>
      <c r="I31" s="62">
        <f t="shared" si="11"/>
        <v>0</v>
      </c>
      <c r="J31" s="62">
        <f t="shared" si="11"/>
        <v>0</v>
      </c>
      <c r="K31" s="62">
        <f t="shared" si="11"/>
        <v>0</v>
      </c>
      <c r="L31" s="62">
        <f t="shared" si="11"/>
        <v>0</v>
      </c>
      <c r="M31" s="62">
        <f t="shared" si="11"/>
        <v>0</v>
      </c>
      <c r="N31" s="62">
        <f>$R$30*N30</f>
        <v>0</v>
      </c>
      <c r="O31" s="62">
        <f t="shared" ref="O31:Q31" si="12">$R$30*O30</f>
        <v>0</v>
      </c>
      <c r="P31" s="62">
        <f t="shared" si="12"/>
        <v>0</v>
      </c>
      <c r="Q31" s="62">
        <f t="shared" si="12"/>
        <v>0</v>
      </c>
      <c r="R31" s="782"/>
    </row>
    <row r="32" spans="1:20" ht="15" customHeight="1">
      <c r="A32" s="58" t="s">
        <v>62</v>
      </c>
      <c r="B32" s="59" t="str">
        <f>VLOOKUP(A32,'Planilha Orçamentária'!$A$69:$L$281,4,0)</f>
        <v>OBRA CIVIL - CAG</v>
      </c>
      <c r="C32" s="265">
        <v>0.2</v>
      </c>
      <c r="D32" s="265">
        <v>0.8</v>
      </c>
      <c r="E32" s="265"/>
      <c r="F32" s="265"/>
      <c r="G32" s="265"/>
      <c r="H32" s="265"/>
      <c r="I32" s="265"/>
      <c r="J32" s="265"/>
      <c r="K32" s="265"/>
      <c r="L32" s="265"/>
      <c r="M32" s="265"/>
      <c r="N32" s="265"/>
      <c r="O32" s="265"/>
      <c r="P32" s="265"/>
      <c r="Q32" s="265"/>
      <c r="R32" s="782">
        <f>'Planilha Resumo'!F40</f>
        <v>42150.94</v>
      </c>
      <c r="T32" s="264">
        <f>SUM(C32:N32)</f>
        <v>1</v>
      </c>
    </row>
    <row r="33" spans="1:20" ht="15" customHeight="1">
      <c r="A33" s="61"/>
      <c r="B33" s="61"/>
      <c r="C33" s="62">
        <f t="shared" ref="C33:M33" si="13">$R$32*C32</f>
        <v>8430.1880000000001</v>
      </c>
      <c r="D33" s="62">
        <f t="shared" si="13"/>
        <v>33720.752</v>
      </c>
      <c r="E33" s="62">
        <f t="shared" si="13"/>
        <v>0</v>
      </c>
      <c r="F33" s="62">
        <f t="shared" si="13"/>
        <v>0</v>
      </c>
      <c r="G33" s="62">
        <f t="shared" si="13"/>
        <v>0</v>
      </c>
      <c r="H33" s="62">
        <f t="shared" si="13"/>
        <v>0</v>
      </c>
      <c r="I33" s="62">
        <f t="shared" si="13"/>
        <v>0</v>
      </c>
      <c r="J33" s="62">
        <f t="shared" si="13"/>
        <v>0</v>
      </c>
      <c r="K33" s="62">
        <f t="shared" si="13"/>
        <v>0</v>
      </c>
      <c r="L33" s="62">
        <f t="shared" si="13"/>
        <v>0</v>
      </c>
      <c r="M33" s="62">
        <f t="shared" si="13"/>
        <v>0</v>
      </c>
      <c r="N33" s="62">
        <f>$R$32*N32</f>
        <v>0</v>
      </c>
      <c r="O33" s="62">
        <f t="shared" ref="O33:Q33" si="14">$R$32*O32</f>
        <v>0</v>
      </c>
      <c r="P33" s="62">
        <f t="shared" si="14"/>
        <v>0</v>
      </c>
      <c r="Q33" s="62">
        <f t="shared" si="14"/>
        <v>0</v>
      </c>
      <c r="R33" s="782"/>
    </row>
    <row r="34" spans="1:20" ht="15" customHeight="1">
      <c r="A34" s="58" t="s">
        <v>66</v>
      </c>
      <c r="B34" s="59" t="str">
        <f>VLOOKUP(A34,'Planilha Orçamentária'!$A$69:$L$281,4,0)</f>
        <v>INSTALAÇÕES ELÉTRICAS E LÓGICA - CAG</v>
      </c>
      <c r="C34" s="60"/>
      <c r="D34" s="60"/>
      <c r="E34" s="60">
        <v>0.3</v>
      </c>
      <c r="F34" s="60">
        <v>0.4</v>
      </c>
      <c r="G34" s="60">
        <v>0.3</v>
      </c>
      <c r="H34" s="60"/>
      <c r="I34" s="60"/>
      <c r="J34" s="60"/>
      <c r="K34" s="60"/>
      <c r="L34" s="60"/>
      <c r="M34" s="60"/>
      <c r="N34" s="60"/>
      <c r="O34" s="60"/>
      <c r="P34" s="60"/>
      <c r="Q34" s="60"/>
      <c r="R34" s="782">
        <f>'Planilha Resumo'!F43</f>
        <v>620110.11</v>
      </c>
      <c r="T34" s="264">
        <f>SUM(C34:N34)</f>
        <v>1</v>
      </c>
    </row>
    <row r="35" spans="1:20" ht="15" customHeight="1">
      <c r="A35" s="61"/>
      <c r="B35" s="61"/>
      <c r="C35" s="62">
        <f t="shared" ref="C35:M35" si="15">$R$34*C34</f>
        <v>0</v>
      </c>
      <c r="D35" s="62">
        <f t="shared" si="15"/>
        <v>0</v>
      </c>
      <c r="E35" s="62">
        <f t="shared" si="15"/>
        <v>186033.033</v>
      </c>
      <c r="F35" s="62">
        <f t="shared" si="15"/>
        <v>248044.04399999999</v>
      </c>
      <c r="G35" s="62">
        <f t="shared" si="15"/>
        <v>186033.033</v>
      </c>
      <c r="H35" s="62">
        <f t="shared" si="15"/>
        <v>0</v>
      </c>
      <c r="I35" s="62">
        <f t="shared" si="15"/>
        <v>0</v>
      </c>
      <c r="J35" s="62">
        <f t="shared" si="15"/>
        <v>0</v>
      </c>
      <c r="K35" s="62">
        <f t="shared" si="15"/>
        <v>0</v>
      </c>
      <c r="L35" s="62">
        <f t="shared" si="15"/>
        <v>0</v>
      </c>
      <c r="M35" s="62">
        <f t="shared" si="15"/>
        <v>0</v>
      </c>
      <c r="N35" s="62">
        <f>$R$34*N34</f>
        <v>0</v>
      </c>
      <c r="O35" s="62">
        <f t="shared" ref="O35:Q35" si="16">$R$34*O34</f>
        <v>0</v>
      </c>
      <c r="P35" s="62">
        <f t="shared" si="16"/>
        <v>0</v>
      </c>
      <c r="Q35" s="62">
        <f t="shared" si="16"/>
        <v>0</v>
      </c>
      <c r="R35" s="782"/>
    </row>
    <row r="36" spans="1:20" ht="15" customHeight="1">
      <c r="A36" s="58" t="s">
        <v>71</v>
      </c>
      <c r="B36" s="59" t="str">
        <f>VLOOKUP(A36,'Planilha Orçamentária'!$A$69:$L$281,4,0)</f>
        <v>CLIMATIZAÇÃO - CAG</v>
      </c>
      <c r="C36" s="265"/>
      <c r="D36" s="265">
        <v>0.1</v>
      </c>
      <c r="E36" s="265">
        <v>0.2</v>
      </c>
      <c r="F36" s="265">
        <v>0.6</v>
      </c>
      <c r="G36" s="265">
        <v>0.1</v>
      </c>
      <c r="H36" s="265"/>
      <c r="I36" s="265"/>
      <c r="J36" s="265"/>
      <c r="K36" s="265"/>
      <c r="L36" s="265"/>
      <c r="M36" s="265"/>
      <c r="N36" s="265"/>
      <c r="O36" s="265"/>
      <c r="P36" s="265"/>
      <c r="Q36" s="265"/>
      <c r="R36" s="782">
        <f>'Planilha Resumo'!F47</f>
        <v>3587978.61</v>
      </c>
      <c r="T36" s="264">
        <f>SUM(C36:N36)</f>
        <v>1</v>
      </c>
    </row>
    <row r="37" spans="1:20" ht="15" customHeight="1">
      <c r="A37" s="61"/>
      <c r="B37" s="61"/>
      <c r="C37" s="62">
        <f t="shared" ref="C37:M37" si="17">$R$36*C36</f>
        <v>0</v>
      </c>
      <c r="D37" s="62">
        <f t="shared" si="17"/>
        <v>358797.86100000003</v>
      </c>
      <c r="E37" s="62">
        <f t="shared" si="17"/>
        <v>717595.72200000007</v>
      </c>
      <c r="F37" s="62">
        <f t="shared" si="17"/>
        <v>2152787.1659999997</v>
      </c>
      <c r="G37" s="62">
        <f t="shared" si="17"/>
        <v>358797.86100000003</v>
      </c>
      <c r="H37" s="62">
        <f t="shared" si="17"/>
        <v>0</v>
      </c>
      <c r="I37" s="62">
        <f t="shared" si="17"/>
        <v>0</v>
      </c>
      <c r="J37" s="62">
        <f t="shared" si="17"/>
        <v>0</v>
      </c>
      <c r="K37" s="62">
        <f t="shared" si="17"/>
        <v>0</v>
      </c>
      <c r="L37" s="62">
        <f t="shared" si="17"/>
        <v>0</v>
      </c>
      <c r="M37" s="62">
        <f t="shared" si="17"/>
        <v>0</v>
      </c>
      <c r="N37" s="62">
        <f>$R$36*N36</f>
        <v>0</v>
      </c>
      <c r="O37" s="62">
        <f t="shared" ref="O37:Q37" si="18">$R$36*O36</f>
        <v>0</v>
      </c>
      <c r="P37" s="62">
        <f t="shared" si="18"/>
        <v>0</v>
      </c>
      <c r="Q37" s="62">
        <f t="shared" si="18"/>
        <v>0</v>
      </c>
      <c r="R37" s="782"/>
    </row>
    <row r="38" spans="1:20" ht="15" customHeight="1">
      <c r="A38" s="58" t="s">
        <v>79</v>
      </c>
      <c r="B38" s="59" t="str">
        <f>VLOOKUP(A38,'Planilha Orçamentária'!$A$69:$L$281,4,0)</f>
        <v>COMPLEMENTAÇÃO DA OBRA</v>
      </c>
      <c r="C38" s="265"/>
      <c r="D38" s="265"/>
      <c r="E38" s="265"/>
      <c r="F38" s="265"/>
      <c r="G38" s="265"/>
      <c r="H38" s="265">
        <v>1</v>
      </c>
      <c r="I38" s="265"/>
      <c r="J38" s="265"/>
      <c r="K38" s="265"/>
      <c r="L38" s="265"/>
      <c r="M38" s="265"/>
      <c r="N38" s="265"/>
      <c r="O38" s="265"/>
      <c r="P38" s="265"/>
      <c r="Q38" s="265"/>
      <c r="R38" s="782">
        <f>'Planilha Resumo'!F52</f>
        <v>8283.74</v>
      </c>
      <c r="T38" s="264">
        <f>SUM(C38:N38)</f>
        <v>1</v>
      </c>
    </row>
    <row r="39" spans="1:20" ht="15" customHeight="1">
      <c r="A39" s="61"/>
      <c r="B39" s="61"/>
      <c r="C39" s="62">
        <f t="shared" ref="C39:M39" si="19">$R$38*C38</f>
        <v>0</v>
      </c>
      <c r="D39" s="62">
        <f t="shared" si="19"/>
        <v>0</v>
      </c>
      <c r="E39" s="62">
        <f t="shared" si="19"/>
        <v>0</v>
      </c>
      <c r="F39" s="62">
        <f t="shared" si="19"/>
        <v>0</v>
      </c>
      <c r="G39" s="62">
        <f t="shared" si="19"/>
        <v>0</v>
      </c>
      <c r="H39" s="62">
        <f t="shared" si="19"/>
        <v>8283.74</v>
      </c>
      <c r="I39" s="62">
        <f t="shared" si="19"/>
        <v>0</v>
      </c>
      <c r="J39" s="62">
        <f t="shared" si="19"/>
        <v>0</v>
      </c>
      <c r="K39" s="62">
        <f t="shared" si="19"/>
        <v>0</v>
      </c>
      <c r="L39" s="62">
        <f t="shared" si="19"/>
        <v>0</v>
      </c>
      <c r="M39" s="62">
        <f t="shared" si="19"/>
        <v>0</v>
      </c>
      <c r="N39" s="62">
        <f>$R$38*N38</f>
        <v>0</v>
      </c>
      <c r="O39" s="62">
        <f t="shared" ref="O39:Q39" si="20">$R$38*O38</f>
        <v>0</v>
      </c>
      <c r="P39" s="62">
        <f t="shared" si="20"/>
        <v>0</v>
      </c>
      <c r="Q39" s="62">
        <f t="shared" si="20"/>
        <v>0</v>
      </c>
      <c r="R39" s="782"/>
    </row>
    <row r="40" spans="1:20" ht="35.25" customHeight="1">
      <c r="A40" s="470">
        <v>3</v>
      </c>
      <c r="B40" s="470" t="s">
        <v>83</v>
      </c>
      <c r="C40" s="471">
        <f>C42+C44+C46+C48+C50+C52+C54+C56+C58+C60+C62+C64+C66+C68+C70</f>
        <v>54228.39</v>
      </c>
      <c r="D40" s="471">
        <f t="shared" ref="D40:Q40" si="21">D42+D44+D46+D48+D50+D52+D54+D56+D58+D60+D62+D64+D66+D68+D70</f>
        <v>247882.22</v>
      </c>
      <c r="E40" s="471">
        <f t="shared" si="21"/>
        <v>492575.68</v>
      </c>
      <c r="F40" s="471">
        <f t="shared" si="21"/>
        <v>552298.47840000002</v>
      </c>
      <c r="G40" s="471">
        <f t="shared" si="21"/>
        <v>486631.19040000002</v>
      </c>
      <c r="H40" s="471">
        <f t="shared" si="21"/>
        <v>723611.63140000007</v>
      </c>
      <c r="I40" s="471">
        <f t="shared" si="21"/>
        <v>635582.70939999993</v>
      </c>
      <c r="J40" s="471">
        <f t="shared" si="21"/>
        <v>528346.83490000002</v>
      </c>
      <c r="K40" s="471">
        <f t="shared" si="21"/>
        <v>377513.48889999994</v>
      </c>
      <c r="L40" s="471">
        <f t="shared" si="21"/>
        <v>310697.34090000001</v>
      </c>
      <c r="M40" s="471">
        <f t="shared" si="21"/>
        <v>200031.97589999999</v>
      </c>
      <c r="N40" s="471">
        <f t="shared" si="21"/>
        <v>85413.537400000016</v>
      </c>
      <c r="O40" s="471">
        <f t="shared" si="21"/>
        <v>33300.394399999997</v>
      </c>
      <c r="P40" s="471">
        <f t="shared" si="21"/>
        <v>60817.147499999992</v>
      </c>
      <c r="Q40" s="471">
        <f t="shared" si="21"/>
        <v>11790.090500000002</v>
      </c>
      <c r="R40" s="472">
        <f>SUM(R41:R52)</f>
        <v>3684166.06</v>
      </c>
    </row>
    <row r="41" spans="1:20" ht="15" customHeight="1">
      <c r="A41" s="58" t="s">
        <v>84</v>
      </c>
      <c r="B41" s="59" t="str">
        <f>VLOOKUP(A41,'Planilha Orçamentária'!$A$282:$L$531,4,0)</f>
        <v>SERVIÇOS PRELIMINARES - 3º PAV - ALA B</v>
      </c>
      <c r="C41" s="265">
        <v>1</v>
      </c>
      <c r="D41" s="265"/>
      <c r="E41" s="265"/>
      <c r="F41" s="265"/>
      <c r="G41" s="265"/>
      <c r="H41" s="265"/>
      <c r="I41" s="265"/>
      <c r="J41" s="265"/>
      <c r="K41" s="265"/>
      <c r="L41" s="265"/>
      <c r="M41" s="265"/>
      <c r="N41" s="265"/>
      <c r="O41" s="265"/>
      <c r="P41" s="265"/>
      <c r="Q41" s="265"/>
      <c r="R41" s="782">
        <f>'Planilha Resumo'!F57</f>
        <v>54228.39</v>
      </c>
      <c r="T41" s="264">
        <f>SUM(C41:N41)</f>
        <v>1</v>
      </c>
    </row>
    <row r="42" spans="1:20" ht="15" customHeight="1">
      <c r="A42" s="61"/>
      <c r="B42" s="61"/>
      <c r="C42" s="62">
        <f t="shared" ref="C42:K42" si="22">$R$41*C41</f>
        <v>54228.39</v>
      </c>
      <c r="D42" s="62">
        <f t="shared" si="22"/>
        <v>0</v>
      </c>
      <c r="E42" s="62">
        <f t="shared" si="22"/>
        <v>0</v>
      </c>
      <c r="F42" s="62">
        <f t="shared" si="22"/>
        <v>0</v>
      </c>
      <c r="G42" s="62">
        <f t="shared" si="22"/>
        <v>0</v>
      </c>
      <c r="H42" s="62"/>
      <c r="I42" s="62"/>
      <c r="J42" s="62">
        <f t="shared" si="22"/>
        <v>0</v>
      </c>
      <c r="K42" s="62">
        <f t="shared" si="22"/>
        <v>0</v>
      </c>
      <c r="L42" s="62"/>
      <c r="M42" s="62"/>
      <c r="N42" s="62">
        <f>$R$41*N41</f>
        <v>0</v>
      </c>
      <c r="O42" s="62">
        <f t="shared" ref="O42:Q42" si="23">$R$41*O41</f>
        <v>0</v>
      </c>
      <c r="P42" s="62">
        <f t="shared" si="23"/>
        <v>0</v>
      </c>
      <c r="Q42" s="62">
        <f t="shared" si="23"/>
        <v>0</v>
      </c>
      <c r="R42" s="782"/>
    </row>
    <row r="43" spans="1:20" ht="15" customHeight="1">
      <c r="A43" s="58" t="s">
        <v>88</v>
      </c>
      <c r="B43" s="59" t="str">
        <f>VLOOKUP(A43,'Planilha Orçamentária'!$A$282:$L$531,4,0)</f>
        <v>OBRA CIVIL - 3º PAV - ALA B</v>
      </c>
      <c r="C43" s="265"/>
      <c r="D43" s="265">
        <v>0.5</v>
      </c>
      <c r="E43" s="265">
        <v>0.5</v>
      </c>
      <c r="F43" s="265"/>
      <c r="G43" s="265"/>
      <c r="H43" s="265"/>
      <c r="I43" s="265"/>
      <c r="J43" s="265"/>
      <c r="K43" s="265"/>
      <c r="L43" s="265"/>
      <c r="M43" s="265"/>
      <c r="N43" s="265"/>
      <c r="O43" s="265"/>
      <c r="P43" s="265"/>
      <c r="Q43" s="265"/>
      <c r="R43" s="782">
        <f>'Planilha Resumo'!F61</f>
        <v>495764.44</v>
      </c>
      <c r="T43" s="264">
        <f>SUM(C43:N43)</f>
        <v>1</v>
      </c>
    </row>
    <row r="44" spans="1:20" ht="15" customHeight="1">
      <c r="A44" s="61"/>
      <c r="B44" s="61"/>
      <c r="C44" s="62">
        <f t="shared" ref="C44:K44" si="24">$R$43*C43</f>
        <v>0</v>
      </c>
      <c r="D44" s="62">
        <f t="shared" si="24"/>
        <v>247882.22</v>
      </c>
      <c r="E44" s="62">
        <f t="shared" si="24"/>
        <v>247882.22</v>
      </c>
      <c r="F44" s="62">
        <f t="shared" si="24"/>
        <v>0</v>
      </c>
      <c r="G44" s="62">
        <f t="shared" si="24"/>
        <v>0</v>
      </c>
      <c r="H44" s="62"/>
      <c r="I44" s="62"/>
      <c r="J44" s="62">
        <f t="shared" si="24"/>
        <v>0</v>
      </c>
      <c r="K44" s="62">
        <f t="shared" si="24"/>
        <v>0</v>
      </c>
      <c r="L44" s="62"/>
      <c r="M44" s="62"/>
      <c r="N44" s="62">
        <f>$R$43*N43</f>
        <v>0</v>
      </c>
      <c r="O44" s="62">
        <f t="shared" ref="O44:Q44" si="25">$R$43*O43</f>
        <v>0</v>
      </c>
      <c r="P44" s="62">
        <f t="shared" si="25"/>
        <v>0</v>
      </c>
      <c r="Q44" s="62">
        <f t="shared" si="25"/>
        <v>0</v>
      </c>
      <c r="R44" s="782"/>
    </row>
    <row r="45" spans="1:20" ht="15" customHeight="1">
      <c r="A45" s="58" t="s">
        <v>93</v>
      </c>
      <c r="B45" s="59" t="str">
        <f>VLOOKUP(A45,'Planilha Orçamentária'!$A$282:$L$531,4,0)</f>
        <v>INSTALAÇÕES HIDROSSANITÁRIAS</v>
      </c>
      <c r="C45" s="60"/>
      <c r="D45" s="60"/>
      <c r="E45" s="60"/>
      <c r="F45" s="60"/>
      <c r="G45" s="60"/>
      <c r="H45" s="60"/>
      <c r="I45" s="60">
        <v>1</v>
      </c>
      <c r="J45" s="265"/>
      <c r="K45" s="265"/>
      <c r="L45" s="265"/>
      <c r="M45" s="265"/>
      <c r="N45" s="265"/>
      <c r="O45" s="265"/>
      <c r="P45" s="265"/>
      <c r="Q45" s="265"/>
      <c r="R45" s="782">
        <f>'Planilha Resumo'!F65</f>
        <v>3734.84</v>
      </c>
      <c r="T45" s="264">
        <f>SUM(C45:N45)</f>
        <v>1</v>
      </c>
    </row>
    <row r="46" spans="1:20" ht="15" customHeight="1">
      <c r="A46" s="61"/>
      <c r="B46" s="61"/>
      <c r="C46" s="62">
        <f t="shared" ref="C46:K46" si="26">$R$45*C45</f>
        <v>0</v>
      </c>
      <c r="D46" s="62">
        <f t="shared" si="26"/>
        <v>0</v>
      </c>
      <c r="E46" s="62">
        <f t="shared" si="26"/>
        <v>0</v>
      </c>
      <c r="F46" s="62">
        <f t="shared" si="26"/>
        <v>0</v>
      </c>
      <c r="G46" s="62">
        <f t="shared" si="26"/>
        <v>0</v>
      </c>
      <c r="H46" s="62">
        <f t="shared" si="26"/>
        <v>0</v>
      </c>
      <c r="I46" s="62">
        <f t="shared" si="26"/>
        <v>3734.84</v>
      </c>
      <c r="J46" s="62">
        <f t="shared" si="26"/>
        <v>0</v>
      </c>
      <c r="K46" s="62">
        <f t="shared" si="26"/>
        <v>0</v>
      </c>
      <c r="L46" s="62"/>
      <c r="M46" s="62"/>
      <c r="N46" s="62">
        <f>$R$45*N45</f>
        <v>0</v>
      </c>
      <c r="O46" s="62">
        <f t="shared" ref="O46:Q46" si="27">$R$45*O45</f>
        <v>0</v>
      </c>
      <c r="P46" s="62">
        <f t="shared" si="27"/>
        <v>0</v>
      </c>
      <c r="Q46" s="62">
        <f t="shared" si="27"/>
        <v>0</v>
      </c>
      <c r="R46" s="782"/>
    </row>
    <row r="47" spans="1:20" ht="15" customHeight="1">
      <c r="A47" s="58" t="s">
        <v>97</v>
      </c>
      <c r="B47" s="59" t="str">
        <f>VLOOKUP(A47,'Planilha Orçamentária'!$A$282:$L$531,4,0)</f>
        <v>INSTALAÇÕES ELÉTRICA, LÓGICA E TELEFONIA</v>
      </c>
      <c r="C47" s="265"/>
      <c r="D47" s="265"/>
      <c r="E47" s="265"/>
      <c r="F47" s="265"/>
      <c r="G47" s="265"/>
      <c r="H47" s="265">
        <v>0.1</v>
      </c>
      <c r="I47" s="265">
        <v>0.2</v>
      </c>
      <c r="J47" s="60">
        <v>0.2</v>
      </c>
      <c r="K47" s="60">
        <v>0.2</v>
      </c>
      <c r="L47" s="60">
        <v>0.2</v>
      </c>
      <c r="M47" s="60">
        <v>0.1</v>
      </c>
      <c r="N47" s="60"/>
      <c r="O47" s="60"/>
      <c r="P47" s="60"/>
      <c r="Q47" s="60"/>
      <c r="R47" s="782">
        <f>'Planilha Resumo'!F68</f>
        <v>1099387.72</v>
      </c>
      <c r="T47" s="264">
        <f>SUM(C47:N47)</f>
        <v>0.99999999999999989</v>
      </c>
    </row>
    <row r="48" spans="1:20" ht="15" customHeight="1">
      <c r="A48" s="61"/>
      <c r="B48" s="61"/>
      <c r="C48" s="62">
        <f t="shared" ref="C48:M48" si="28">$R$47*C47</f>
        <v>0</v>
      </c>
      <c r="D48" s="62">
        <f t="shared" si="28"/>
        <v>0</v>
      </c>
      <c r="E48" s="62">
        <f t="shared" si="28"/>
        <v>0</v>
      </c>
      <c r="F48" s="62">
        <f t="shared" si="28"/>
        <v>0</v>
      </c>
      <c r="G48" s="62">
        <f t="shared" si="28"/>
        <v>0</v>
      </c>
      <c r="H48" s="62">
        <f t="shared" si="28"/>
        <v>109938.772</v>
      </c>
      <c r="I48" s="62">
        <f t="shared" si="28"/>
        <v>219877.54399999999</v>
      </c>
      <c r="J48" s="62">
        <f t="shared" si="28"/>
        <v>219877.54399999999</v>
      </c>
      <c r="K48" s="62">
        <f t="shared" si="28"/>
        <v>219877.54399999999</v>
      </c>
      <c r="L48" s="62">
        <f t="shared" si="28"/>
        <v>219877.54399999999</v>
      </c>
      <c r="M48" s="62">
        <f t="shared" si="28"/>
        <v>109938.772</v>
      </c>
      <c r="N48" s="62">
        <f>$R$47*N47</f>
        <v>0</v>
      </c>
      <c r="O48" s="62">
        <f t="shared" ref="O48:Q48" si="29">$R$47*O47</f>
        <v>0</v>
      </c>
      <c r="P48" s="62">
        <f t="shared" si="29"/>
        <v>0</v>
      </c>
      <c r="Q48" s="62">
        <f t="shared" si="29"/>
        <v>0</v>
      </c>
      <c r="R48" s="782"/>
    </row>
    <row r="49" spans="1:20" ht="15" customHeight="1">
      <c r="A49" s="58" t="s">
        <v>104</v>
      </c>
      <c r="B49" s="59" t="str">
        <f>VLOOKUP(A49,'Planilha Orçamentária'!$A$282:$L$531,4,0)</f>
        <v>CLIMATIZAÇÃO</v>
      </c>
      <c r="C49" s="265"/>
      <c r="D49" s="265"/>
      <c r="E49" s="265">
        <v>0.1</v>
      </c>
      <c r="F49" s="265">
        <v>0.2</v>
      </c>
      <c r="G49" s="265">
        <v>0.2</v>
      </c>
      <c r="H49" s="265">
        <v>0.25</v>
      </c>
      <c r="I49" s="265">
        <v>0.15</v>
      </c>
      <c r="J49" s="265">
        <v>0.1</v>
      </c>
      <c r="K49" s="265"/>
      <c r="L49" s="265"/>
      <c r="M49" s="265"/>
      <c r="N49" s="265"/>
      <c r="O49" s="265"/>
      <c r="P49" s="265"/>
      <c r="Q49" s="265"/>
      <c r="R49" s="782">
        <f>'Planilha Resumo'!F73</f>
        <v>2017025.34</v>
      </c>
      <c r="T49" s="264">
        <f>SUM(C49:N49)</f>
        <v>1</v>
      </c>
    </row>
    <row r="50" spans="1:20" ht="15" customHeight="1">
      <c r="A50" s="61"/>
      <c r="B50" s="61"/>
      <c r="C50" s="62">
        <f t="shared" ref="C50:K50" si="30">$R$49*C49</f>
        <v>0</v>
      </c>
      <c r="D50" s="62">
        <f t="shared" si="30"/>
        <v>0</v>
      </c>
      <c r="E50" s="62">
        <f t="shared" si="30"/>
        <v>201702.53400000001</v>
      </c>
      <c r="F50" s="62">
        <f t="shared" si="30"/>
        <v>403405.06800000003</v>
      </c>
      <c r="G50" s="62">
        <f t="shared" si="30"/>
        <v>403405.06800000003</v>
      </c>
      <c r="H50" s="62">
        <f t="shared" si="30"/>
        <v>504256.33500000002</v>
      </c>
      <c r="I50" s="62">
        <f t="shared" si="30"/>
        <v>302553.80099999998</v>
      </c>
      <c r="J50" s="62">
        <f t="shared" si="30"/>
        <v>201702.53400000001</v>
      </c>
      <c r="K50" s="62">
        <f t="shared" si="30"/>
        <v>0</v>
      </c>
      <c r="L50" s="62"/>
      <c r="M50" s="62"/>
      <c r="N50" s="62">
        <f>$R$49*N49</f>
        <v>0</v>
      </c>
      <c r="O50" s="62">
        <f t="shared" ref="O50:Q50" si="31">$R$49*O49</f>
        <v>0</v>
      </c>
      <c r="P50" s="62">
        <f t="shared" si="31"/>
        <v>0</v>
      </c>
      <c r="Q50" s="62">
        <f t="shared" si="31"/>
        <v>0</v>
      </c>
      <c r="R50" s="782"/>
    </row>
    <row r="51" spans="1:20" ht="15" customHeight="1">
      <c r="A51" s="58" t="s">
        <v>116</v>
      </c>
      <c r="B51" s="59" t="str">
        <f>VLOOKUP(A51,'Planilha Orçamentária'!$A$282:$L$531,4,0)</f>
        <v>COMPLEMENTAÇÃO DA OBRA</v>
      </c>
      <c r="C51" s="265"/>
      <c r="D51" s="265"/>
      <c r="E51" s="265"/>
      <c r="F51" s="265"/>
      <c r="G51" s="265"/>
      <c r="H51" s="265"/>
      <c r="I51" s="265"/>
      <c r="J51" s="265"/>
      <c r="K51" s="265"/>
      <c r="L51" s="265"/>
      <c r="M51" s="265"/>
      <c r="N51" s="265">
        <v>0.5</v>
      </c>
      <c r="O51" s="265"/>
      <c r="P51" s="265">
        <v>0.5</v>
      </c>
      <c r="Q51" s="265"/>
      <c r="R51" s="782">
        <f>'Planilha Resumo'!F81</f>
        <v>14025.33</v>
      </c>
      <c r="T51" s="264">
        <f>SUM(C51:N51)</f>
        <v>0.5</v>
      </c>
    </row>
    <row r="52" spans="1:20" ht="15" customHeight="1">
      <c r="A52" s="61"/>
      <c r="B52" s="61"/>
      <c r="C52" s="62">
        <f t="shared" ref="C52:N52" si="32">$R$51*C51</f>
        <v>0</v>
      </c>
      <c r="D52" s="62">
        <f t="shared" si="32"/>
        <v>0</v>
      </c>
      <c r="E52" s="62">
        <f t="shared" si="32"/>
        <v>0</v>
      </c>
      <c r="F52" s="62">
        <f t="shared" si="32"/>
        <v>0</v>
      </c>
      <c r="G52" s="62">
        <f t="shared" si="32"/>
        <v>0</v>
      </c>
      <c r="H52" s="62">
        <f t="shared" si="32"/>
        <v>0</v>
      </c>
      <c r="I52" s="62">
        <f t="shared" si="32"/>
        <v>0</v>
      </c>
      <c r="J52" s="62">
        <f t="shared" si="32"/>
        <v>0</v>
      </c>
      <c r="K52" s="62">
        <f t="shared" si="32"/>
        <v>0</v>
      </c>
      <c r="L52" s="62">
        <f t="shared" si="32"/>
        <v>0</v>
      </c>
      <c r="M52" s="62">
        <f t="shared" si="32"/>
        <v>0</v>
      </c>
      <c r="N52" s="62">
        <f t="shared" si="32"/>
        <v>7012.665</v>
      </c>
      <c r="O52" s="62">
        <f t="shared" ref="O52:Q52" si="33">$R$51*O51</f>
        <v>0</v>
      </c>
      <c r="P52" s="62">
        <f t="shared" si="33"/>
        <v>7012.665</v>
      </c>
      <c r="Q52" s="62">
        <f t="shared" si="33"/>
        <v>0</v>
      </c>
      <c r="R52" s="782"/>
    </row>
    <row r="53" spans="1:20" ht="15" customHeight="1">
      <c r="A53" s="58">
        <v>4</v>
      </c>
      <c r="B53" s="59" t="str">
        <f>VLOOKUP(A53,'Planilha Orçamentária'!$A$282:$L$600,4,0)</f>
        <v>Instalações de Drywall e divisórias</v>
      </c>
      <c r="C53" s="265"/>
      <c r="D53" s="265"/>
      <c r="E53" s="265"/>
      <c r="F53" s="265"/>
      <c r="G53" s="265"/>
      <c r="H53" s="265">
        <v>0.2</v>
      </c>
      <c r="I53" s="265">
        <v>0.2</v>
      </c>
      <c r="J53" s="265">
        <v>0.2</v>
      </c>
      <c r="K53" s="265">
        <v>0.2</v>
      </c>
      <c r="L53" s="265"/>
      <c r="M53" s="265">
        <v>0.1</v>
      </c>
      <c r="N53" s="265">
        <v>0.1</v>
      </c>
      <c r="O53" s="265"/>
      <c r="P53" s="265"/>
      <c r="Q53" s="265"/>
      <c r="R53" s="782">
        <f>'Planilha Orçamentária'!K533</f>
        <v>435822.89</v>
      </c>
    </row>
    <row r="54" spans="1:20" ht="15" customHeight="1">
      <c r="A54" s="61"/>
      <c r="B54" s="61"/>
      <c r="C54" s="62">
        <f>$R$53*C53</f>
        <v>0</v>
      </c>
      <c r="D54" s="62">
        <f t="shared" ref="D54:N54" si="34">$R$53*D53</f>
        <v>0</v>
      </c>
      <c r="E54" s="62">
        <f t="shared" si="34"/>
        <v>0</v>
      </c>
      <c r="F54" s="62">
        <f t="shared" si="34"/>
        <v>0</v>
      </c>
      <c r="G54" s="62">
        <f t="shared" si="34"/>
        <v>0</v>
      </c>
      <c r="H54" s="62">
        <f t="shared" si="34"/>
        <v>87164.578000000009</v>
      </c>
      <c r="I54" s="62">
        <f t="shared" si="34"/>
        <v>87164.578000000009</v>
      </c>
      <c r="J54" s="62">
        <f t="shared" si="34"/>
        <v>87164.578000000009</v>
      </c>
      <c r="K54" s="62">
        <f t="shared" si="34"/>
        <v>87164.578000000009</v>
      </c>
      <c r="L54" s="62">
        <f t="shared" si="34"/>
        <v>0</v>
      </c>
      <c r="M54" s="62">
        <f t="shared" si="34"/>
        <v>43582.289000000004</v>
      </c>
      <c r="N54" s="62">
        <f t="shared" si="34"/>
        <v>43582.289000000004</v>
      </c>
      <c r="O54" s="62">
        <f t="shared" ref="O54:Q54" si="35">$R$53*O53</f>
        <v>0</v>
      </c>
      <c r="P54" s="62">
        <f t="shared" si="35"/>
        <v>0</v>
      </c>
      <c r="Q54" s="62">
        <f t="shared" si="35"/>
        <v>0</v>
      </c>
      <c r="R54" s="782"/>
    </row>
    <row r="55" spans="1:20" ht="15" customHeight="1">
      <c r="A55" s="58">
        <v>5</v>
      </c>
      <c r="B55" s="59" t="str">
        <f>VLOOKUP(A55,'Planilha Orçamentária'!$A$282:$L$600,4,0)</f>
        <v>Instalações telefônicas</v>
      </c>
      <c r="C55" s="265"/>
      <c r="D55" s="265"/>
      <c r="E55" s="265"/>
      <c r="F55" s="265"/>
      <c r="G55" s="265"/>
      <c r="H55" s="265"/>
      <c r="I55" s="265"/>
      <c r="J55" s="265"/>
      <c r="K55" s="265">
        <v>0.5</v>
      </c>
      <c r="L55" s="265">
        <v>0.4</v>
      </c>
      <c r="M55" s="265"/>
      <c r="N55" s="265">
        <v>0.05</v>
      </c>
      <c r="O55" s="265"/>
      <c r="P55" s="265">
        <v>0.05</v>
      </c>
      <c r="Q55" s="265"/>
      <c r="R55" s="782">
        <f>'Planilha Orçamentária'!K545</f>
        <v>68994.790000000008</v>
      </c>
    </row>
    <row r="56" spans="1:20" ht="15" customHeight="1">
      <c r="A56" s="61"/>
      <c r="B56" s="61"/>
      <c r="C56" s="62">
        <f>$R$55*C55</f>
        <v>0</v>
      </c>
      <c r="D56" s="62">
        <f t="shared" ref="D56:N56" si="36">$R$55*D55</f>
        <v>0</v>
      </c>
      <c r="E56" s="62">
        <f t="shared" si="36"/>
        <v>0</v>
      </c>
      <c r="F56" s="62">
        <f t="shared" si="36"/>
        <v>0</v>
      </c>
      <c r="G56" s="62">
        <f t="shared" si="36"/>
        <v>0</v>
      </c>
      <c r="H56" s="62">
        <f t="shared" si="36"/>
        <v>0</v>
      </c>
      <c r="I56" s="62">
        <f t="shared" si="36"/>
        <v>0</v>
      </c>
      <c r="J56" s="62">
        <f t="shared" si="36"/>
        <v>0</v>
      </c>
      <c r="K56" s="62">
        <f t="shared" si="36"/>
        <v>34497.395000000004</v>
      </c>
      <c r="L56" s="62">
        <f t="shared" si="36"/>
        <v>27597.916000000005</v>
      </c>
      <c r="M56" s="62">
        <f t="shared" si="36"/>
        <v>0</v>
      </c>
      <c r="N56" s="62">
        <f t="shared" si="36"/>
        <v>3449.7395000000006</v>
      </c>
      <c r="O56" s="62">
        <f t="shared" ref="O56:Q56" si="37">$R$55*O55</f>
        <v>0</v>
      </c>
      <c r="P56" s="62">
        <f t="shared" si="37"/>
        <v>3449.7395000000006</v>
      </c>
      <c r="Q56" s="62">
        <f t="shared" si="37"/>
        <v>0</v>
      </c>
      <c r="R56" s="782"/>
    </row>
    <row r="57" spans="1:20" ht="15" customHeight="1">
      <c r="A57" s="58">
        <v>6</v>
      </c>
      <c r="B57" s="59" t="str">
        <f>VLOOKUP(A57,'Planilha Orçamentária'!$A$282:$L$600,4,0)</f>
        <v>Instalações de Sonorização</v>
      </c>
      <c r="C57" s="265"/>
      <c r="D57" s="265"/>
      <c r="E57" s="265"/>
      <c r="F57" s="265"/>
      <c r="G57" s="265"/>
      <c r="H57" s="265"/>
      <c r="I57" s="265"/>
      <c r="J57" s="265"/>
      <c r="K57" s="265"/>
      <c r="L57" s="265">
        <v>0.5</v>
      </c>
      <c r="M57" s="265">
        <v>0.3</v>
      </c>
      <c r="N57" s="265">
        <v>0.2</v>
      </c>
      <c r="O57" s="265"/>
      <c r="P57" s="265"/>
      <c r="Q57" s="265"/>
      <c r="R57" s="782">
        <f>'Planilha Orçamentária'!K570</f>
        <v>32946.700000000004</v>
      </c>
    </row>
    <row r="58" spans="1:20" ht="15" customHeight="1">
      <c r="A58" s="61"/>
      <c r="B58" s="61"/>
      <c r="C58" s="62">
        <f>$R$57*C57</f>
        <v>0</v>
      </c>
      <c r="D58" s="62">
        <f t="shared" ref="D58:N58" si="38">$R$57*D57</f>
        <v>0</v>
      </c>
      <c r="E58" s="62">
        <f t="shared" si="38"/>
        <v>0</v>
      </c>
      <c r="F58" s="62">
        <f t="shared" si="38"/>
        <v>0</v>
      </c>
      <c r="G58" s="62">
        <f t="shared" si="38"/>
        <v>0</v>
      </c>
      <c r="H58" s="62">
        <f t="shared" si="38"/>
        <v>0</v>
      </c>
      <c r="I58" s="62">
        <f t="shared" si="38"/>
        <v>0</v>
      </c>
      <c r="J58" s="62">
        <f t="shared" si="38"/>
        <v>0</v>
      </c>
      <c r="K58" s="62">
        <f t="shared" si="38"/>
        <v>0</v>
      </c>
      <c r="L58" s="62">
        <f t="shared" si="38"/>
        <v>16473.350000000002</v>
      </c>
      <c r="M58" s="62">
        <f t="shared" si="38"/>
        <v>9884.01</v>
      </c>
      <c r="N58" s="62">
        <f t="shared" si="38"/>
        <v>6589.3400000000011</v>
      </c>
      <c r="O58" s="62">
        <f t="shared" ref="O58:Q58" si="39">$R$57*O57</f>
        <v>0</v>
      </c>
      <c r="P58" s="62">
        <f t="shared" si="39"/>
        <v>0</v>
      </c>
      <c r="Q58" s="62">
        <f t="shared" si="39"/>
        <v>0</v>
      </c>
      <c r="R58" s="782"/>
    </row>
    <row r="59" spans="1:20" ht="15" customHeight="1">
      <c r="A59" s="58">
        <v>7</v>
      </c>
      <c r="B59" s="59" t="str">
        <f>VLOOKUP(A59,'Planilha Orçamentária'!$A$282:$L$600,4,0)</f>
        <v>Informática</v>
      </c>
      <c r="C59" s="265"/>
      <c r="D59" s="265"/>
      <c r="E59" s="265"/>
      <c r="F59" s="265"/>
      <c r="G59" s="265"/>
      <c r="H59" s="265"/>
      <c r="I59" s="265"/>
      <c r="J59" s="265"/>
      <c r="K59" s="265">
        <v>0.15</v>
      </c>
      <c r="L59" s="265">
        <v>0.3</v>
      </c>
      <c r="M59" s="265">
        <v>0.25</v>
      </c>
      <c r="N59" s="265">
        <v>0.15</v>
      </c>
      <c r="O59" s="265">
        <v>0.1</v>
      </c>
      <c r="P59" s="265"/>
      <c r="Q59" s="265">
        <v>0.05</v>
      </c>
      <c r="R59" s="782">
        <f>'Planilha Orçamentária'!K580</f>
        <v>118474.01000000001</v>
      </c>
    </row>
    <row r="60" spans="1:20" ht="15" customHeight="1">
      <c r="A60" s="61"/>
      <c r="B60" s="61"/>
      <c r="C60" s="62">
        <f>$R$59*C59</f>
        <v>0</v>
      </c>
      <c r="D60" s="62">
        <f t="shared" ref="D60:N60" si="40">$R$59*D59</f>
        <v>0</v>
      </c>
      <c r="E60" s="62">
        <f t="shared" si="40"/>
        <v>0</v>
      </c>
      <c r="F60" s="62">
        <f t="shared" si="40"/>
        <v>0</v>
      </c>
      <c r="G60" s="62">
        <f t="shared" si="40"/>
        <v>0</v>
      </c>
      <c r="H60" s="62">
        <f t="shared" si="40"/>
        <v>0</v>
      </c>
      <c r="I60" s="62">
        <f t="shared" si="40"/>
        <v>0</v>
      </c>
      <c r="J60" s="62">
        <f t="shared" si="40"/>
        <v>0</v>
      </c>
      <c r="K60" s="62">
        <f t="shared" si="40"/>
        <v>17771.101500000001</v>
      </c>
      <c r="L60" s="62">
        <f t="shared" si="40"/>
        <v>35542.203000000001</v>
      </c>
      <c r="M60" s="62">
        <f t="shared" si="40"/>
        <v>29618.502500000002</v>
      </c>
      <c r="N60" s="62">
        <f t="shared" si="40"/>
        <v>17771.101500000001</v>
      </c>
      <c r="O60" s="62">
        <f t="shared" ref="O60:Q60" si="41">$R$59*O59</f>
        <v>11847.401000000002</v>
      </c>
      <c r="P60" s="62">
        <f t="shared" si="41"/>
        <v>0</v>
      </c>
      <c r="Q60" s="62">
        <f t="shared" si="41"/>
        <v>5923.7005000000008</v>
      </c>
      <c r="R60" s="782"/>
    </row>
    <row r="61" spans="1:20" ht="15" customHeight="1">
      <c r="A61" s="58">
        <v>8</v>
      </c>
      <c r="B61" s="59" t="str">
        <f>VLOOKUP(A61,'Planilha Orçamentária'!$A$282:$L$600,4,0)</f>
        <v>Armazenamento de divisórias em galpão</v>
      </c>
      <c r="C61" s="265"/>
      <c r="D61" s="265"/>
      <c r="E61" s="265">
        <v>0.15</v>
      </c>
      <c r="F61" s="265">
        <v>7.0000000000000007E-2</v>
      </c>
      <c r="G61" s="265">
        <v>7.0000000000000007E-2</v>
      </c>
      <c r="H61" s="265">
        <v>7.0000000000000007E-2</v>
      </c>
      <c r="I61" s="265">
        <v>7.0000000000000007E-2</v>
      </c>
      <c r="J61" s="265">
        <v>7.0000000000000007E-2</v>
      </c>
      <c r="K61" s="265">
        <v>7.0000000000000007E-2</v>
      </c>
      <c r="L61" s="265">
        <v>7.0000000000000007E-2</v>
      </c>
      <c r="M61" s="265">
        <v>7.0000000000000007E-2</v>
      </c>
      <c r="N61" s="265">
        <v>7.0000000000000007E-2</v>
      </c>
      <c r="O61" s="265">
        <v>7.0000000000000007E-2</v>
      </c>
      <c r="P61" s="265">
        <v>0.15</v>
      </c>
      <c r="Q61" s="265"/>
      <c r="R61" s="782">
        <f>'Planilha Orçamentária'!K593</f>
        <v>83358.92</v>
      </c>
    </row>
    <row r="62" spans="1:20" ht="15" customHeight="1">
      <c r="A62" s="61"/>
      <c r="B62" s="61"/>
      <c r="C62" s="62">
        <f>$R$61*C61</f>
        <v>0</v>
      </c>
      <c r="D62" s="62">
        <f t="shared" ref="D62:N62" si="42">$R$61*D61</f>
        <v>0</v>
      </c>
      <c r="E62" s="62">
        <f t="shared" si="42"/>
        <v>12503.838</v>
      </c>
      <c r="F62" s="62">
        <f t="shared" si="42"/>
        <v>5835.1244000000006</v>
      </c>
      <c r="G62" s="62">
        <f t="shared" si="42"/>
        <v>5835.1244000000006</v>
      </c>
      <c r="H62" s="62">
        <f t="shared" si="42"/>
        <v>5835.1244000000006</v>
      </c>
      <c r="I62" s="62">
        <f t="shared" si="42"/>
        <v>5835.1244000000006</v>
      </c>
      <c r="J62" s="62">
        <f t="shared" si="42"/>
        <v>5835.1244000000006</v>
      </c>
      <c r="K62" s="62">
        <f t="shared" si="42"/>
        <v>5835.1244000000006</v>
      </c>
      <c r="L62" s="62">
        <f t="shared" si="42"/>
        <v>5835.1244000000006</v>
      </c>
      <c r="M62" s="62">
        <f t="shared" si="42"/>
        <v>5835.1244000000006</v>
      </c>
      <c r="N62" s="62">
        <f t="shared" si="42"/>
        <v>5835.1244000000006</v>
      </c>
      <c r="O62" s="62">
        <f t="shared" ref="O62:Q62" si="43">$R$61*O61</f>
        <v>5835.1244000000006</v>
      </c>
      <c r="P62" s="62">
        <f t="shared" si="43"/>
        <v>12503.838</v>
      </c>
      <c r="Q62" s="62">
        <f t="shared" si="43"/>
        <v>0</v>
      </c>
      <c r="R62" s="782"/>
    </row>
    <row r="63" spans="1:20" ht="15" customHeight="1">
      <c r="A63" s="58">
        <v>9</v>
      </c>
      <c r="B63" s="59" t="str">
        <f>VLOOKUP(A63,'Planilha Orçamentária'!$A$282:$L$600,4,0)</f>
        <v>Sistema de alarme de incêndio</v>
      </c>
      <c r="C63" s="265"/>
      <c r="D63" s="265"/>
      <c r="E63" s="265"/>
      <c r="F63" s="265"/>
      <c r="G63" s="265"/>
      <c r="H63" s="265"/>
      <c r="I63" s="265"/>
      <c r="J63" s="265"/>
      <c r="K63" s="265"/>
      <c r="L63" s="265"/>
      <c r="M63" s="265"/>
      <c r="N63" s="265"/>
      <c r="O63" s="265">
        <v>0.7</v>
      </c>
      <c r="P63" s="265">
        <v>0.3</v>
      </c>
      <c r="Q63" s="265"/>
      <c r="R63" s="782">
        <f>'Planilha Orçamentária'!K597</f>
        <v>20635.129999999997</v>
      </c>
    </row>
    <row r="64" spans="1:20" ht="15" customHeight="1">
      <c r="A64" s="61"/>
      <c r="B64" s="61"/>
      <c r="C64" s="62">
        <f>$R$63*C63</f>
        <v>0</v>
      </c>
      <c r="D64" s="62">
        <f t="shared" ref="D64:N64" si="44">$R$63*D63</f>
        <v>0</v>
      </c>
      <c r="E64" s="62">
        <f t="shared" si="44"/>
        <v>0</v>
      </c>
      <c r="F64" s="62">
        <f t="shared" si="44"/>
        <v>0</v>
      </c>
      <c r="G64" s="62">
        <f t="shared" si="44"/>
        <v>0</v>
      </c>
      <c r="H64" s="62">
        <f t="shared" si="44"/>
        <v>0</v>
      </c>
      <c r="I64" s="62">
        <f t="shared" si="44"/>
        <v>0</v>
      </c>
      <c r="J64" s="62">
        <f t="shared" si="44"/>
        <v>0</v>
      </c>
      <c r="K64" s="62">
        <f t="shared" si="44"/>
        <v>0</v>
      </c>
      <c r="L64" s="62">
        <f t="shared" si="44"/>
        <v>0</v>
      </c>
      <c r="M64" s="62">
        <f t="shared" si="44"/>
        <v>0</v>
      </c>
      <c r="N64" s="62">
        <f t="shared" si="44"/>
        <v>0</v>
      </c>
      <c r="O64" s="62">
        <f t="shared" ref="O64:Q64" si="45">$R$63*O63</f>
        <v>14444.590999999997</v>
      </c>
      <c r="P64" s="62">
        <f t="shared" si="45"/>
        <v>6190.5389999999989</v>
      </c>
      <c r="Q64" s="62">
        <f t="shared" si="45"/>
        <v>0</v>
      </c>
      <c r="R64" s="782"/>
    </row>
    <row r="65" spans="1:20" ht="15" customHeight="1">
      <c r="A65" s="58">
        <v>10</v>
      </c>
      <c r="B65" s="59" t="str">
        <f>VLOOKUP(A65,'Planilha Orçamentária'!$A$282:$L$900,4,0)</f>
        <v>Banheiro acessível</v>
      </c>
      <c r="C65" s="265"/>
      <c r="D65" s="265"/>
      <c r="E65" s="265"/>
      <c r="F65" s="265"/>
      <c r="G65" s="265"/>
      <c r="H65" s="265"/>
      <c r="I65" s="265"/>
      <c r="J65" s="265">
        <v>0.45</v>
      </c>
      <c r="K65" s="265">
        <v>0.4</v>
      </c>
      <c r="L65" s="265">
        <v>0.15</v>
      </c>
      <c r="M65" s="265"/>
      <c r="N65" s="265"/>
      <c r="O65" s="265"/>
      <c r="P65" s="265"/>
      <c r="Q65" s="265"/>
      <c r="R65" s="782">
        <f>'Planilha Orçamentária'!K605</f>
        <v>27986.17</v>
      </c>
    </row>
    <row r="66" spans="1:20" ht="15" customHeight="1">
      <c r="A66" s="61"/>
      <c r="B66" s="61"/>
      <c r="C66" s="62">
        <f>$R$65*C65</f>
        <v>0</v>
      </c>
      <c r="D66" s="62">
        <f t="shared" ref="D66:N66" si="46">$R$65*D65</f>
        <v>0</v>
      </c>
      <c r="E66" s="62">
        <f t="shared" si="46"/>
        <v>0</v>
      </c>
      <c r="F66" s="62">
        <f t="shared" si="46"/>
        <v>0</v>
      </c>
      <c r="G66" s="62">
        <f t="shared" si="46"/>
        <v>0</v>
      </c>
      <c r="H66" s="62">
        <f>$R$65*H65</f>
        <v>0</v>
      </c>
      <c r="I66" s="62">
        <f>$R$65*I65</f>
        <v>0</v>
      </c>
      <c r="J66" s="62">
        <f>$R$65*J65</f>
        <v>12593.7765</v>
      </c>
      <c r="K66" s="62">
        <f>$R$65*K65</f>
        <v>11194.468000000001</v>
      </c>
      <c r="L66" s="62">
        <f>$R$65*L65</f>
        <v>4197.9254999999994</v>
      </c>
      <c r="M66" s="62">
        <f t="shared" si="46"/>
        <v>0</v>
      </c>
      <c r="N66" s="62">
        <f t="shared" si="46"/>
        <v>0</v>
      </c>
      <c r="O66" s="62">
        <f t="shared" ref="O66:Q66" si="47">$R$65*O65</f>
        <v>0</v>
      </c>
      <c r="P66" s="62">
        <f t="shared" si="47"/>
        <v>0</v>
      </c>
      <c r="Q66" s="62">
        <f t="shared" si="47"/>
        <v>0</v>
      </c>
      <c r="R66" s="782"/>
    </row>
    <row r="67" spans="1:20" ht="15" customHeight="1">
      <c r="A67" s="58">
        <v>11</v>
      </c>
      <c r="B67" s="59" t="str">
        <f>VLOOKUP(A67,'Planilha Orçamentária'!$A$282:$L$900,4,0)</f>
        <v>CABINE DE MEDIÇÃO</v>
      </c>
      <c r="C67" s="265"/>
      <c r="D67" s="265"/>
      <c r="E67" s="265">
        <v>0.1</v>
      </c>
      <c r="F67" s="265">
        <v>0.45</v>
      </c>
      <c r="G67" s="265">
        <v>0.25</v>
      </c>
      <c r="H67" s="265">
        <v>0.05</v>
      </c>
      <c r="I67" s="265">
        <v>0.05</v>
      </c>
      <c r="J67" s="265"/>
      <c r="K67" s="265"/>
      <c r="L67" s="265"/>
      <c r="M67" s="265"/>
      <c r="N67" s="265"/>
      <c r="O67" s="265"/>
      <c r="P67" s="265">
        <v>0.1</v>
      </c>
      <c r="Q67" s="265"/>
      <c r="R67" s="782">
        <f>'Planilha Orçamentária'!K660</f>
        <v>304870.87999999995</v>
      </c>
    </row>
    <row r="68" spans="1:20" ht="15" customHeight="1">
      <c r="A68" s="61"/>
      <c r="B68" s="61"/>
      <c r="C68" s="62">
        <f>$R$67*C67</f>
        <v>0</v>
      </c>
      <c r="D68" s="62">
        <f t="shared" ref="D68:N68" si="48">$R$67*D67</f>
        <v>0</v>
      </c>
      <c r="E68" s="62">
        <f t="shared" si="48"/>
        <v>30487.087999999996</v>
      </c>
      <c r="F68" s="62">
        <f t="shared" si="48"/>
        <v>137191.89599999998</v>
      </c>
      <c r="G68" s="62">
        <f t="shared" si="48"/>
        <v>76217.719999999987</v>
      </c>
      <c r="H68" s="62">
        <f t="shared" si="48"/>
        <v>15243.543999999998</v>
      </c>
      <c r="I68" s="62">
        <f t="shared" si="48"/>
        <v>15243.543999999998</v>
      </c>
      <c r="J68" s="62">
        <f t="shared" si="48"/>
        <v>0</v>
      </c>
      <c r="K68" s="62">
        <f t="shared" si="48"/>
        <v>0</v>
      </c>
      <c r="L68" s="62">
        <f t="shared" si="48"/>
        <v>0</v>
      </c>
      <c r="M68" s="62">
        <f t="shared" si="48"/>
        <v>0</v>
      </c>
      <c r="N68" s="62">
        <f t="shared" si="48"/>
        <v>0</v>
      </c>
      <c r="O68" s="62">
        <f t="shared" ref="O68:Q68" si="49">$R$67*O67</f>
        <v>0</v>
      </c>
      <c r="P68" s="62">
        <f t="shared" si="49"/>
        <v>30487.087999999996</v>
      </c>
      <c r="Q68" s="62">
        <f t="shared" si="49"/>
        <v>0</v>
      </c>
      <c r="R68" s="782"/>
    </row>
    <row r="69" spans="1:20" ht="15" customHeight="1">
      <c r="A69" s="58">
        <v>12</v>
      </c>
      <c r="B69" s="59" t="str">
        <f>VLOOKUP(A69,'Planilha Orçamentária'!$A$282:$L$900,4,0)</f>
        <v>Instalação de tapume e aluguel de container</v>
      </c>
      <c r="C69" s="265"/>
      <c r="D69" s="265"/>
      <c r="E69" s="265"/>
      <c r="F69" s="265">
        <v>0.25</v>
      </c>
      <c r="G69" s="265">
        <v>0.05</v>
      </c>
      <c r="H69" s="265">
        <v>0.05</v>
      </c>
      <c r="I69" s="265">
        <v>0.05</v>
      </c>
      <c r="J69" s="265">
        <v>0.05</v>
      </c>
      <c r="K69" s="265">
        <v>0.05</v>
      </c>
      <c r="L69" s="265">
        <v>0.05</v>
      </c>
      <c r="M69" s="265">
        <v>0.05</v>
      </c>
      <c r="N69" s="265">
        <v>0.05</v>
      </c>
      <c r="O69" s="265">
        <v>0.05</v>
      </c>
      <c r="P69" s="265">
        <v>0.05</v>
      </c>
      <c r="Q69" s="265">
        <v>0.25</v>
      </c>
      <c r="R69" s="782">
        <f>'Planilha Orçamentária'!K729</f>
        <v>23465.56</v>
      </c>
    </row>
    <row r="70" spans="1:20" ht="15" customHeight="1">
      <c r="A70" s="61"/>
      <c r="B70" s="61"/>
      <c r="C70" s="62">
        <f>$R$69*C69</f>
        <v>0</v>
      </c>
      <c r="D70" s="62">
        <f t="shared" ref="D70:N70" si="50">$R$69*D69</f>
        <v>0</v>
      </c>
      <c r="E70" s="62">
        <f t="shared" si="50"/>
        <v>0</v>
      </c>
      <c r="F70" s="62">
        <f t="shared" si="50"/>
        <v>5866.39</v>
      </c>
      <c r="G70" s="62">
        <f t="shared" si="50"/>
        <v>1173.278</v>
      </c>
      <c r="H70" s="62">
        <f t="shared" si="50"/>
        <v>1173.278</v>
      </c>
      <c r="I70" s="62">
        <f t="shared" si="50"/>
        <v>1173.278</v>
      </c>
      <c r="J70" s="62">
        <f t="shared" si="50"/>
        <v>1173.278</v>
      </c>
      <c r="K70" s="62">
        <f t="shared" si="50"/>
        <v>1173.278</v>
      </c>
      <c r="L70" s="62">
        <f t="shared" si="50"/>
        <v>1173.278</v>
      </c>
      <c r="M70" s="62">
        <f t="shared" si="50"/>
        <v>1173.278</v>
      </c>
      <c r="N70" s="62">
        <f t="shared" si="50"/>
        <v>1173.278</v>
      </c>
      <c r="O70" s="62">
        <f t="shared" ref="O70:Q70" si="51">$R$69*O69</f>
        <v>1173.278</v>
      </c>
      <c r="P70" s="62">
        <f t="shared" si="51"/>
        <v>1173.278</v>
      </c>
      <c r="Q70" s="62">
        <f t="shared" si="51"/>
        <v>5866.39</v>
      </c>
      <c r="R70" s="782"/>
    </row>
    <row r="71" spans="1:20" ht="15" customHeight="1">
      <c r="A71" s="602"/>
      <c r="B71" s="603"/>
      <c r="C71" s="604"/>
      <c r="D71" s="604"/>
      <c r="E71" s="604"/>
      <c r="F71" s="604"/>
      <c r="G71" s="604"/>
      <c r="H71" s="604"/>
      <c r="I71" s="604"/>
      <c r="J71" s="604"/>
      <c r="K71" s="604"/>
      <c r="L71" s="604"/>
      <c r="M71" s="604"/>
      <c r="N71" s="604"/>
      <c r="O71" s="604"/>
      <c r="P71" s="604"/>
      <c r="Q71" s="604"/>
      <c r="R71" s="605"/>
    </row>
    <row r="72" spans="1:20" ht="15" customHeight="1">
      <c r="A72" s="602"/>
      <c r="B72" s="603"/>
      <c r="C72" s="604"/>
      <c r="D72" s="604"/>
      <c r="E72" s="604"/>
      <c r="F72" s="604"/>
      <c r="G72" s="604"/>
      <c r="H72" s="604"/>
      <c r="I72" s="604"/>
      <c r="J72" s="604"/>
      <c r="K72" s="604"/>
      <c r="L72" s="604"/>
      <c r="M72" s="604"/>
      <c r="N72" s="604"/>
      <c r="O72" s="604"/>
      <c r="P72" s="604"/>
      <c r="Q72" s="604"/>
      <c r="R72" s="605"/>
    </row>
    <row r="73" spans="1:20" ht="15" customHeight="1">
      <c r="A73" s="258"/>
      <c r="B73" s="259"/>
      <c r="C73" s="260"/>
      <c r="D73" s="260"/>
      <c r="E73" s="260"/>
      <c r="F73" s="260"/>
      <c r="G73" s="260"/>
      <c r="H73" s="260"/>
      <c r="I73" s="260"/>
      <c r="J73" s="260"/>
      <c r="K73" s="260"/>
      <c r="L73" s="260"/>
      <c r="M73" s="260"/>
      <c r="N73" s="260"/>
      <c r="O73" s="604"/>
      <c r="P73" s="604"/>
      <c r="Q73" s="604"/>
      <c r="R73" s="261"/>
    </row>
    <row r="74" spans="1:20" ht="33" customHeight="1">
      <c r="A74" s="796" t="s">
        <v>1277</v>
      </c>
      <c r="B74" s="797"/>
      <c r="C74" s="399">
        <f t="shared" ref="C74:Q74" si="52">C20+C29+C40</f>
        <v>523464.20874999999</v>
      </c>
      <c r="D74" s="399">
        <f t="shared" si="52"/>
        <v>792775.25575000001</v>
      </c>
      <c r="E74" s="399">
        <f t="shared" si="52"/>
        <v>1439480.8227500001</v>
      </c>
      <c r="F74" s="399">
        <f t="shared" si="52"/>
        <v>2996406.0761499996</v>
      </c>
      <c r="G74" s="399">
        <f t="shared" si="52"/>
        <v>1074738.47215</v>
      </c>
      <c r="H74" s="399">
        <f t="shared" si="52"/>
        <v>731895.37140000006</v>
      </c>
      <c r="I74" s="399">
        <f t="shared" si="52"/>
        <v>635582.70939999993</v>
      </c>
      <c r="J74" s="399">
        <f t="shared" si="52"/>
        <v>571623.22265000001</v>
      </c>
      <c r="K74" s="399">
        <f t="shared" si="52"/>
        <v>420789.87664999993</v>
      </c>
      <c r="L74" s="399">
        <f t="shared" si="52"/>
        <v>310697.34090000001</v>
      </c>
      <c r="M74" s="399">
        <f t="shared" si="52"/>
        <v>200031.97589999999</v>
      </c>
      <c r="N74" s="399">
        <f t="shared" si="52"/>
        <v>128689.92515000001</v>
      </c>
      <c r="O74" s="399">
        <f t="shared" si="52"/>
        <v>33300.394399999997</v>
      </c>
      <c r="P74" s="399">
        <f t="shared" si="52"/>
        <v>60817.147499999992</v>
      </c>
      <c r="Q74" s="399">
        <f t="shared" si="52"/>
        <v>11790.090500000002</v>
      </c>
      <c r="R74" s="240">
        <f>R20+R29+R40+SUM(R53:R70)</f>
        <v>9932082.8900000006</v>
      </c>
    </row>
    <row r="75" spans="1:20" ht="33" customHeight="1">
      <c r="A75" s="795" t="s">
        <v>1278</v>
      </c>
      <c r="B75" s="795"/>
      <c r="C75" s="223">
        <f>(C74*100)/$R$74</f>
        <v>5.270437374994561</v>
      </c>
      <c r="D75" s="223">
        <f t="shared" ref="D75:Q75" si="53">(D74*100)/$R$74</f>
        <v>7.9819637484922357</v>
      </c>
      <c r="E75" s="223">
        <f t="shared" si="53"/>
        <v>14.493242139564947</v>
      </c>
      <c r="F75" s="223">
        <f t="shared" si="53"/>
        <v>30.168959616385152</v>
      </c>
      <c r="G75" s="223">
        <f t="shared" si="53"/>
        <v>10.820876990787982</v>
      </c>
      <c r="H75" s="223">
        <f t="shared" si="53"/>
        <v>7.3690018448889525</v>
      </c>
      <c r="I75" s="223">
        <f t="shared" si="53"/>
        <v>6.3992892169670554</v>
      </c>
      <c r="J75" s="223">
        <f t="shared" si="53"/>
        <v>5.7553207014163368</v>
      </c>
      <c r="K75" s="223">
        <f t="shared" si="53"/>
        <v>4.2366730252892593</v>
      </c>
      <c r="L75" s="223">
        <f t="shared" si="53"/>
        <v>3.1282193709118347</v>
      </c>
      <c r="M75" s="223">
        <f t="shared" si="53"/>
        <v>2.0139982530894884</v>
      </c>
      <c r="N75" s="223">
        <f t="shared" si="53"/>
        <v>1.2956992664607132</v>
      </c>
      <c r="O75" s="223">
        <f t="shared" si="53"/>
        <v>0.3352810761731369</v>
      </c>
      <c r="P75" s="223">
        <f t="shared" si="53"/>
        <v>0.61233024506101341</v>
      </c>
      <c r="Q75" s="223">
        <f t="shared" si="53"/>
        <v>0.11870712951732124</v>
      </c>
      <c r="R75" s="241">
        <f>SUM(C75:N75)</f>
        <v>98.933681549248533</v>
      </c>
      <c r="T75" s="289">
        <f>R75/100</f>
        <v>0.98933681549248531</v>
      </c>
    </row>
    <row r="76" spans="1:20" customFormat="1"/>
    <row r="77" spans="1:20" customFormat="1" hidden="1"/>
    <row r="78" spans="1:20" customFormat="1" hidden="1"/>
    <row r="79" spans="1:20" customFormat="1" hidden="1"/>
    <row r="80" spans="1:20" customFormat="1" hidden="1"/>
    <row r="81" spans="1:18" customFormat="1" hidden="1"/>
    <row r="82" spans="1:18" customFormat="1" hidden="1"/>
    <row r="83" spans="1:18" customFormat="1" hidden="1"/>
    <row r="84" spans="1:18" customFormat="1" hidden="1"/>
    <row r="85" spans="1:18" customFormat="1"/>
    <row r="86" spans="1:18" customFormat="1" ht="50.1" customHeight="1"/>
    <row r="87" spans="1:18" customFormat="1"/>
    <row r="88" spans="1:18" customFormat="1"/>
    <row r="89" spans="1:18">
      <c r="A89" s="17"/>
      <c r="C89" s="19"/>
      <c r="D89" s="19"/>
      <c r="E89" s="19"/>
      <c r="F89" s="19"/>
      <c r="G89" s="19"/>
      <c r="H89" s="19"/>
      <c r="I89" s="19"/>
      <c r="J89" s="19"/>
      <c r="K89" s="19"/>
      <c r="L89" s="19"/>
      <c r="M89" s="19"/>
      <c r="N89" s="19"/>
      <c r="O89" s="19"/>
      <c r="P89" s="19"/>
      <c r="Q89" s="19"/>
      <c r="R89" s="17"/>
    </row>
    <row r="90" spans="1:18">
      <c r="A90" s="17"/>
      <c r="C90" s="19"/>
      <c r="D90" s="19"/>
      <c r="E90" s="19"/>
      <c r="F90" s="19"/>
      <c r="G90" s="19"/>
      <c r="H90" s="19"/>
      <c r="I90" s="19"/>
      <c r="J90" s="19"/>
      <c r="K90" s="19"/>
      <c r="L90" s="19"/>
      <c r="M90" s="19"/>
      <c r="N90" s="19"/>
      <c r="O90" s="19"/>
      <c r="P90" s="19"/>
      <c r="Q90" s="19"/>
      <c r="R90" s="17"/>
    </row>
    <row r="91" spans="1:18">
      <c r="A91" s="17"/>
      <c r="C91" s="19"/>
      <c r="D91" s="19"/>
      <c r="E91" s="19"/>
      <c r="F91" s="19"/>
      <c r="G91" s="19"/>
      <c r="H91" s="19"/>
      <c r="I91" s="19"/>
      <c r="J91" s="19"/>
      <c r="K91" s="19"/>
      <c r="L91" s="19"/>
      <c r="M91" s="19"/>
      <c r="N91" s="19"/>
      <c r="O91" s="19"/>
      <c r="P91" s="19"/>
      <c r="Q91" s="19"/>
      <c r="R91" s="17"/>
    </row>
    <row r="92" spans="1:18">
      <c r="A92" s="17"/>
      <c r="C92" s="19"/>
      <c r="D92" s="19"/>
      <c r="E92" s="19"/>
      <c r="F92" s="19"/>
      <c r="G92" s="19"/>
      <c r="H92" s="19"/>
      <c r="I92" s="19"/>
      <c r="J92" s="19"/>
      <c r="K92" s="19"/>
      <c r="L92" s="19"/>
      <c r="M92" s="19"/>
      <c r="N92" s="19"/>
      <c r="O92" s="19"/>
      <c r="P92" s="19"/>
      <c r="Q92" s="19"/>
      <c r="R92" s="17"/>
    </row>
    <row r="93" spans="1:18">
      <c r="A93" s="17"/>
      <c r="C93" s="19"/>
      <c r="D93" s="19"/>
      <c r="E93" s="19"/>
      <c r="F93" s="19"/>
      <c r="G93" s="19"/>
      <c r="H93" s="19"/>
      <c r="I93" s="19"/>
      <c r="J93" s="19"/>
      <c r="K93" s="19"/>
      <c r="L93" s="19"/>
      <c r="M93" s="19"/>
      <c r="N93" s="19"/>
      <c r="O93" s="19"/>
      <c r="P93" s="19"/>
      <c r="Q93" s="19"/>
      <c r="R93" s="17"/>
    </row>
    <row r="94" spans="1:18">
      <c r="A94" s="17"/>
      <c r="C94" s="19"/>
      <c r="D94" s="19"/>
      <c r="E94" s="19"/>
      <c r="F94" s="19"/>
      <c r="G94" s="19"/>
      <c r="H94" s="19"/>
      <c r="I94" s="19"/>
      <c r="J94" s="19"/>
      <c r="K94" s="19"/>
      <c r="L94" s="19"/>
      <c r="M94" s="19"/>
      <c r="N94" s="19"/>
      <c r="O94" s="19"/>
      <c r="P94" s="19"/>
      <c r="Q94" s="19"/>
      <c r="R94" s="17"/>
    </row>
    <row r="95" spans="1:18">
      <c r="A95" s="17"/>
      <c r="C95" s="19"/>
      <c r="D95" s="19"/>
      <c r="E95" s="19"/>
      <c r="F95" s="19"/>
      <c r="G95" s="19"/>
      <c r="H95" s="19"/>
      <c r="I95" s="19"/>
      <c r="J95" s="19"/>
      <c r="K95" s="19"/>
      <c r="L95" s="19"/>
      <c r="M95" s="19"/>
      <c r="N95" s="19"/>
      <c r="O95" s="19"/>
      <c r="P95" s="19"/>
      <c r="Q95" s="19"/>
      <c r="R95" s="17"/>
    </row>
    <row r="96" spans="1:18">
      <c r="A96" s="17"/>
      <c r="C96" s="19"/>
      <c r="D96" s="19"/>
      <c r="E96" s="19"/>
      <c r="F96" s="19"/>
      <c r="G96" s="19"/>
      <c r="H96" s="19"/>
      <c r="I96" s="19"/>
      <c r="J96" s="19"/>
      <c r="K96" s="19"/>
      <c r="L96" s="19"/>
      <c r="M96" s="19"/>
      <c r="N96" s="19"/>
      <c r="O96" s="19"/>
      <c r="P96" s="19"/>
      <c r="Q96" s="19"/>
      <c r="R96" s="17"/>
    </row>
    <row r="97" spans="1:18">
      <c r="A97" s="17"/>
      <c r="C97" s="19"/>
      <c r="D97" s="19"/>
      <c r="E97" s="19"/>
      <c r="F97" s="19"/>
      <c r="G97" s="19"/>
      <c r="H97" s="19"/>
      <c r="I97" s="19"/>
      <c r="J97" s="19"/>
      <c r="K97" s="19"/>
      <c r="L97" s="19"/>
      <c r="M97" s="19"/>
      <c r="N97" s="19"/>
      <c r="O97" s="19"/>
      <c r="P97" s="19"/>
      <c r="Q97" s="19"/>
      <c r="R97" s="17"/>
    </row>
    <row r="98" spans="1:18">
      <c r="A98" s="17"/>
      <c r="C98" s="19"/>
      <c r="D98" s="19"/>
      <c r="E98" s="19"/>
      <c r="F98" s="19"/>
      <c r="G98" s="19"/>
      <c r="H98" s="19"/>
      <c r="I98" s="19"/>
      <c r="J98" s="19"/>
      <c r="K98" s="19"/>
      <c r="L98" s="19"/>
      <c r="M98" s="19"/>
      <c r="N98" s="19"/>
      <c r="O98" s="19"/>
      <c r="P98" s="19"/>
      <c r="Q98" s="19"/>
      <c r="R98" s="17"/>
    </row>
    <row r="99" spans="1:18">
      <c r="A99" s="17"/>
      <c r="C99" s="19"/>
      <c r="D99" s="19"/>
      <c r="E99" s="19"/>
      <c r="F99" s="19"/>
      <c r="G99" s="19"/>
      <c r="H99" s="19"/>
      <c r="I99" s="19"/>
      <c r="J99" s="19"/>
      <c r="K99" s="19"/>
      <c r="L99" s="19"/>
      <c r="M99" s="19"/>
      <c r="N99" s="19"/>
      <c r="O99" s="19"/>
      <c r="P99" s="19"/>
      <c r="Q99" s="19"/>
      <c r="R99" s="17"/>
    </row>
    <row r="100" spans="1:18">
      <c r="A100" s="17"/>
      <c r="C100" s="19"/>
      <c r="D100" s="19"/>
      <c r="E100" s="19"/>
      <c r="F100" s="19"/>
      <c r="G100" s="19"/>
      <c r="H100" s="19"/>
      <c r="I100" s="19"/>
      <c r="J100" s="19"/>
      <c r="K100" s="19"/>
      <c r="L100" s="19"/>
      <c r="M100" s="19"/>
      <c r="N100" s="19"/>
      <c r="O100" s="19"/>
      <c r="P100" s="19"/>
      <c r="Q100" s="19"/>
      <c r="R100" s="17"/>
    </row>
    <row r="101" spans="1:18">
      <c r="A101" s="17"/>
      <c r="C101" s="19"/>
      <c r="D101" s="19"/>
      <c r="E101" s="19"/>
      <c r="F101" s="19"/>
      <c r="G101" s="19"/>
      <c r="H101" s="19"/>
      <c r="I101" s="19"/>
      <c r="J101" s="19"/>
      <c r="K101" s="19"/>
      <c r="L101" s="19"/>
      <c r="M101" s="19"/>
      <c r="N101" s="19"/>
      <c r="O101" s="19"/>
      <c r="P101" s="19"/>
      <c r="Q101" s="19"/>
      <c r="R101" s="17"/>
    </row>
    <row r="102" spans="1:18">
      <c r="A102" s="17"/>
      <c r="C102" s="19"/>
      <c r="D102" s="19"/>
      <c r="E102" s="19"/>
      <c r="F102" s="19"/>
      <c r="G102" s="19"/>
      <c r="H102" s="19"/>
      <c r="I102" s="19"/>
      <c r="J102" s="19"/>
      <c r="K102" s="19"/>
      <c r="L102" s="19"/>
      <c r="M102" s="19"/>
      <c r="N102" s="19"/>
      <c r="O102" s="19"/>
      <c r="P102" s="19"/>
      <c r="Q102" s="19"/>
      <c r="R102" s="17"/>
    </row>
    <row r="103" spans="1:18">
      <c r="A103" s="17"/>
      <c r="C103" s="19"/>
      <c r="D103" s="19"/>
      <c r="E103" s="19"/>
      <c r="F103" s="19"/>
      <c r="G103" s="19"/>
      <c r="H103" s="19"/>
      <c r="I103" s="19"/>
      <c r="J103" s="19"/>
      <c r="K103" s="19"/>
      <c r="L103" s="19"/>
      <c r="M103" s="19"/>
      <c r="N103" s="19"/>
      <c r="O103" s="19"/>
      <c r="P103" s="19"/>
      <c r="Q103" s="19"/>
      <c r="R103" s="17"/>
    </row>
    <row r="104" spans="1:18">
      <c r="A104" s="17"/>
      <c r="C104" s="19"/>
      <c r="D104" s="19"/>
      <c r="E104" s="19"/>
      <c r="F104" s="19"/>
      <c r="G104" s="19"/>
      <c r="H104" s="19"/>
      <c r="I104" s="19"/>
      <c r="J104" s="19"/>
      <c r="K104" s="19"/>
      <c r="L104" s="19"/>
      <c r="M104" s="19"/>
      <c r="N104" s="19"/>
      <c r="O104" s="19"/>
      <c r="P104" s="19"/>
      <c r="Q104" s="19"/>
      <c r="R104" s="17"/>
    </row>
    <row r="105" spans="1:18">
      <c r="A105" s="17"/>
      <c r="C105" s="19"/>
      <c r="D105" s="19"/>
      <c r="E105" s="19"/>
      <c r="F105" s="19"/>
      <c r="G105" s="19"/>
      <c r="H105" s="19"/>
      <c r="I105" s="19"/>
      <c r="J105" s="19"/>
      <c r="K105" s="19"/>
      <c r="L105" s="19"/>
      <c r="M105" s="19"/>
      <c r="N105" s="19"/>
      <c r="O105" s="19"/>
      <c r="P105" s="19"/>
      <c r="Q105" s="19"/>
      <c r="R105" s="17"/>
    </row>
    <row r="106" spans="1:18">
      <c r="A106" s="17"/>
      <c r="C106" s="19"/>
      <c r="D106" s="19"/>
      <c r="E106" s="19"/>
      <c r="F106" s="19"/>
      <c r="G106" s="19"/>
      <c r="H106" s="19"/>
      <c r="I106" s="19"/>
      <c r="J106" s="19"/>
      <c r="K106" s="19"/>
      <c r="L106" s="19"/>
      <c r="M106" s="19"/>
      <c r="N106" s="19"/>
      <c r="O106" s="19"/>
      <c r="P106" s="19"/>
      <c r="Q106" s="19"/>
      <c r="R106" s="17"/>
    </row>
    <row r="107" spans="1:18">
      <c r="A107" s="17"/>
      <c r="C107" s="19"/>
      <c r="D107" s="19"/>
      <c r="E107" s="19"/>
      <c r="F107" s="19"/>
      <c r="G107" s="19"/>
      <c r="H107" s="19"/>
      <c r="I107" s="19"/>
      <c r="J107" s="19"/>
      <c r="K107" s="19"/>
      <c r="L107" s="19"/>
      <c r="M107" s="19"/>
      <c r="N107" s="19"/>
      <c r="O107" s="19"/>
      <c r="P107" s="19"/>
      <c r="Q107" s="19"/>
      <c r="R107" s="17"/>
    </row>
    <row r="108" spans="1:18">
      <c r="A108" s="17"/>
      <c r="C108" s="19"/>
      <c r="D108" s="19"/>
      <c r="E108" s="19"/>
      <c r="F108" s="19"/>
      <c r="G108" s="19"/>
      <c r="H108" s="19"/>
      <c r="I108" s="19"/>
      <c r="J108" s="19"/>
      <c r="K108" s="19"/>
      <c r="L108" s="19"/>
      <c r="M108" s="19"/>
      <c r="N108" s="19"/>
      <c r="O108" s="19"/>
      <c r="P108" s="19"/>
      <c r="Q108" s="19"/>
      <c r="R108" s="17"/>
    </row>
    <row r="109" spans="1:18">
      <c r="A109" s="17"/>
      <c r="C109" s="19"/>
      <c r="D109" s="19"/>
      <c r="E109" s="19"/>
      <c r="F109" s="19"/>
      <c r="G109" s="19"/>
      <c r="H109" s="19"/>
      <c r="I109" s="19"/>
      <c r="J109" s="19"/>
      <c r="K109" s="19"/>
      <c r="L109" s="19"/>
      <c r="M109" s="19"/>
      <c r="N109" s="19"/>
      <c r="O109" s="19"/>
      <c r="P109" s="19"/>
      <c r="Q109" s="19"/>
      <c r="R109" s="17"/>
    </row>
    <row r="110" spans="1:18">
      <c r="A110" s="17"/>
      <c r="C110" s="19"/>
      <c r="D110" s="19"/>
      <c r="E110" s="19"/>
      <c r="F110" s="19"/>
      <c r="G110" s="19"/>
      <c r="H110" s="19"/>
      <c r="I110" s="19"/>
      <c r="J110" s="19"/>
      <c r="K110" s="19"/>
      <c r="L110" s="19"/>
      <c r="M110" s="19"/>
      <c r="N110" s="19"/>
      <c r="O110" s="19"/>
      <c r="P110" s="19"/>
      <c r="Q110" s="19"/>
      <c r="R110" s="17"/>
    </row>
    <row r="111" spans="1:18">
      <c r="A111" s="17"/>
      <c r="C111" s="19"/>
      <c r="D111" s="19"/>
      <c r="E111" s="19"/>
      <c r="F111" s="19"/>
      <c r="G111" s="19"/>
      <c r="H111" s="19"/>
      <c r="I111" s="19"/>
      <c r="J111" s="19"/>
      <c r="K111" s="19"/>
      <c r="L111" s="19"/>
      <c r="M111" s="19"/>
      <c r="N111" s="19"/>
      <c r="O111" s="19"/>
      <c r="P111" s="19"/>
      <c r="Q111" s="19"/>
      <c r="R111" s="17"/>
    </row>
    <row r="112" spans="1:18">
      <c r="A112" s="17"/>
      <c r="C112" s="19"/>
      <c r="D112" s="19"/>
      <c r="E112" s="19"/>
      <c r="F112" s="19"/>
      <c r="G112" s="19"/>
      <c r="H112" s="19"/>
      <c r="I112" s="19"/>
      <c r="J112" s="19"/>
      <c r="K112" s="19"/>
      <c r="L112" s="19"/>
      <c r="M112" s="19"/>
      <c r="N112" s="19"/>
      <c r="O112" s="19"/>
      <c r="P112" s="19"/>
      <c r="Q112" s="19"/>
      <c r="R112" s="17"/>
    </row>
    <row r="113" spans="1:18">
      <c r="A113" s="17"/>
      <c r="C113" s="19"/>
      <c r="D113" s="19"/>
      <c r="E113" s="19"/>
      <c r="F113" s="19"/>
      <c r="G113" s="19"/>
      <c r="H113" s="19"/>
      <c r="I113" s="19"/>
      <c r="J113" s="19"/>
      <c r="K113" s="19"/>
      <c r="L113" s="19"/>
      <c r="M113" s="19"/>
      <c r="N113" s="19"/>
      <c r="O113" s="19"/>
      <c r="P113" s="19"/>
      <c r="Q113" s="19"/>
      <c r="R113" s="17"/>
    </row>
    <row r="114" spans="1:18">
      <c r="A114" s="17"/>
      <c r="C114" s="19"/>
      <c r="D114" s="19"/>
      <c r="E114" s="19"/>
      <c r="F114" s="19"/>
      <c r="G114" s="19"/>
      <c r="H114" s="19"/>
      <c r="I114" s="19"/>
      <c r="J114" s="19"/>
      <c r="K114" s="19"/>
      <c r="L114" s="19"/>
      <c r="M114" s="19"/>
      <c r="N114" s="19"/>
      <c r="O114" s="19"/>
      <c r="P114" s="19"/>
      <c r="Q114" s="19"/>
      <c r="R114" s="17"/>
    </row>
    <row r="115" spans="1:18">
      <c r="A115" s="17"/>
      <c r="C115" s="19"/>
      <c r="D115" s="19"/>
      <c r="E115" s="19"/>
      <c r="F115" s="19"/>
      <c r="G115" s="19"/>
      <c r="H115" s="19"/>
      <c r="I115" s="19"/>
      <c r="J115" s="19"/>
      <c r="K115" s="19"/>
      <c r="L115" s="19"/>
      <c r="M115" s="19"/>
      <c r="N115" s="19"/>
      <c r="O115" s="19"/>
      <c r="P115" s="19"/>
      <c r="Q115" s="19"/>
      <c r="R115" s="17"/>
    </row>
    <row r="116" spans="1:18">
      <c r="A116" s="17"/>
      <c r="C116" s="19"/>
      <c r="D116" s="19"/>
      <c r="E116" s="19"/>
      <c r="F116" s="19"/>
      <c r="G116" s="19"/>
      <c r="H116" s="19"/>
      <c r="I116" s="19"/>
      <c r="J116" s="19"/>
      <c r="K116" s="19"/>
      <c r="L116" s="19"/>
      <c r="M116" s="19"/>
      <c r="N116" s="19"/>
      <c r="O116" s="19"/>
      <c r="P116" s="19"/>
      <c r="Q116" s="19"/>
      <c r="R116" s="17"/>
    </row>
    <row r="117" spans="1:18">
      <c r="A117" s="17"/>
      <c r="C117" s="19"/>
      <c r="D117" s="19"/>
      <c r="E117" s="19"/>
      <c r="F117" s="19"/>
      <c r="G117" s="19"/>
      <c r="H117" s="19"/>
      <c r="I117" s="19"/>
      <c r="J117" s="19"/>
      <c r="K117" s="19"/>
      <c r="L117" s="19"/>
      <c r="M117" s="19"/>
      <c r="N117" s="19"/>
      <c r="O117" s="19"/>
      <c r="P117" s="19"/>
      <c r="Q117" s="19"/>
      <c r="R117" s="17"/>
    </row>
    <row r="118" spans="1:18">
      <c r="A118" s="17"/>
      <c r="C118" s="19"/>
      <c r="D118" s="19"/>
      <c r="E118" s="19"/>
      <c r="F118" s="19"/>
      <c r="G118" s="19"/>
      <c r="H118" s="19"/>
      <c r="I118" s="19"/>
      <c r="J118" s="19"/>
      <c r="K118" s="19"/>
      <c r="L118" s="19"/>
      <c r="M118" s="19"/>
      <c r="N118" s="19"/>
      <c r="O118" s="19"/>
      <c r="P118" s="19"/>
      <c r="Q118" s="19"/>
      <c r="R118" s="17"/>
    </row>
    <row r="119" spans="1:18">
      <c r="A119" s="17"/>
      <c r="C119" s="19"/>
      <c r="D119" s="19"/>
      <c r="E119" s="19"/>
      <c r="F119" s="19"/>
      <c r="G119" s="19"/>
      <c r="H119" s="19"/>
      <c r="I119" s="19"/>
      <c r="J119" s="19"/>
      <c r="K119" s="19"/>
      <c r="L119" s="19"/>
      <c r="M119" s="19"/>
      <c r="N119" s="19"/>
      <c r="O119" s="19"/>
      <c r="P119" s="19"/>
      <c r="Q119" s="19"/>
      <c r="R119" s="17"/>
    </row>
    <row r="120" spans="1:18">
      <c r="A120" s="17"/>
      <c r="C120" s="19"/>
      <c r="D120" s="19"/>
      <c r="E120" s="19"/>
      <c r="F120" s="19"/>
      <c r="G120" s="19"/>
      <c r="H120" s="19"/>
      <c r="I120" s="19"/>
      <c r="J120" s="19"/>
      <c r="K120" s="19"/>
      <c r="L120" s="19"/>
      <c r="M120" s="19"/>
      <c r="N120" s="19"/>
      <c r="O120" s="19"/>
      <c r="P120" s="19"/>
      <c r="Q120" s="19"/>
      <c r="R120" s="17"/>
    </row>
    <row r="121" spans="1:18">
      <c r="A121" s="17"/>
      <c r="C121" s="19"/>
      <c r="D121" s="19"/>
      <c r="E121" s="19"/>
      <c r="F121" s="19"/>
      <c r="G121" s="19"/>
      <c r="H121" s="19"/>
      <c r="I121" s="19"/>
      <c r="J121" s="19"/>
      <c r="K121" s="19"/>
      <c r="L121" s="19"/>
      <c r="M121" s="19"/>
      <c r="N121" s="19"/>
      <c r="O121" s="19"/>
      <c r="P121" s="19"/>
      <c r="Q121" s="19"/>
      <c r="R121" s="17"/>
    </row>
    <row r="122" spans="1:18">
      <c r="A122" s="17"/>
      <c r="C122" s="19"/>
      <c r="D122" s="19"/>
      <c r="E122" s="19"/>
      <c r="F122" s="19"/>
      <c r="G122" s="19"/>
      <c r="H122" s="19"/>
      <c r="I122" s="19"/>
      <c r="J122" s="19"/>
      <c r="K122" s="19"/>
      <c r="L122" s="19"/>
      <c r="M122" s="19"/>
      <c r="N122" s="19"/>
      <c r="O122" s="19"/>
      <c r="P122" s="19"/>
      <c r="Q122" s="19"/>
      <c r="R122" s="17"/>
    </row>
    <row r="123" spans="1:18">
      <c r="A123" s="17"/>
      <c r="C123" s="19"/>
      <c r="D123" s="19"/>
      <c r="E123" s="19"/>
      <c r="F123" s="19"/>
      <c r="G123" s="19"/>
      <c r="H123" s="19"/>
      <c r="I123" s="19"/>
      <c r="J123" s="19"/>
      <c r="K123" s="19"/>
      <c r="L123" s="19"/>
      <c r="M123" s="19"/>
      <c r="N123" s="19"/>
      <c r="O123" s="19"/>
      <c r="P123" s="19"/>
      <c r="Q123" s="19"/>
      <c r="R123" s="17"/>
    </row>
    <row r="124" spans="1:18">
      <c r="A124" s="17"/>
      <c r="C124" s="19"/>
      <c r="D124" s="19"/>
      <c r="E124" s="19"/>
      <c r="F124" s="19"/>
      <c r="G124" s="19"/>
      <c r="H124" s="19"/>
      <c r="I124" s="19"/>
      <c r="J124" s="19"/>
      <c r="K124" s="19"/>
      <c r="L124" s="19"/>
      <c r="M124" s="19"/>
      <c r="N124" s="19"/>
      <c r="O124" s="19"/>
      <c r="P124" s="19"/>
      <c r="Q124" s="19"/>
      <c r="R124" s="17"/>
    </row>
    <row r="125" spans="1:18">
      <c r="A125" s="17"/>
      <c r="C125" s="19"/>
      <c r="D125" s="19"/>
      <c r="E125" s="19"/>
      <c r="F125" s="19"/>
      <c r="G125" s="19"/>
      <c r="H125" s="19"/>
      <c r="I125" s="19"/>
      <c r="J125" s="19"/>
      <c r="K125" s="19"/>
      <c r="L125" s="19"/>
      <c r="M125" s="19"/>
      <c r="N125" s="19"/>
      <c r="O125" s="19"/>
      <c r="P125" s="19"/>
      <c r="Q125" s="19"/>
      <c r="R125" s="17"/>
    </row>
    <row r="126" spans="1:18">
      <c r="A126" s="17"/>
      <c r="C126" s="19"/>
      <c r="D126" s="19"/>
      <c r="E126" s="19"/>
      <c r="F126" s="19"/>
      <c r="G126" s="19"/>
      <c r="H126" s="19"/>
      <c r="I126" s="19"/>
      <c r="J126" s="19"/>
      <c r="K126" s="19"/>
      <c r="L126" s="19"/>
      <c r="M126" s="19"/>
      <c r="N126" s="19"/>
      <c r="O126" s="19"/>
      <c r="P126" s="19"/>
      <c r="Q126" s="19"/>
      <c r="R126" s="17"/>
    </row>
    <row r="127" spans="1:18">
      <c r="A127" s="17"/>
      <c r="C127" s="19"/>
      <c r="D127" s="19"/>
      <c r="E127" s="19"/>
      <c r="F127" s="19"/>
      <c r="G127" s="19"/>
      <c r="H127" s="19"/>
      <c r="I127" s="19"/>
      <c r="J127" s="19"/>
      <c r="K127" s="19"/>
      <c r="L127" s="19"/>
      <c r="M127" s="19"/>
      <c r="N127" s="19"/>
      <c r="O127" s="19"/>
      <c r="P127" s="19"/>
      <c r="Q127" s="19"/>
      <c r="R127" s="17"/>
    </row>
    <row r="128" spans="1:18">
      <c r="A128" s="17"/>
      <c r="C128" s="19"/>
      <c r="D128" s="19"/>
      <c r="E128" s="19"/>
      <c r="F128" s="19"/>
      <c r="G128" s="19"/>
      <c r="H128" s="19"/>
      <c r="I128" s="19"/>
      <c r="J128" s="19"/>
      <c r="K128" s="19"/>
      <c r="L128" s="19"/>
      <c r="M128" s="19"/>
      <c r="N128" s="19"/>
      <c r="O128" s="19"/>
      <c r="P128" s="19"/>
      <c r="Q128" s="19"/>
      <c r="R128" s="17"/>
    </row>
    <row r="129" spans="1:18">
      <c r="A129" s="17"/>
      <c r="C129" s="19"/>
      <c r="D129" s="19"/>
      <c r="E129" s="19"/>
      <c r="F129" s="19"/>
      <c r="G129" s="19"/>
      <c r="H129" s="19"/>
      <c r="I129" s="19"/>
      <c r="J129" s="19"/>
      <c r="K129" s="19"/>
      <c r="L129" s="19"/>
      <c r="M129" s="19"/>
      <c r="N129" s="19"/>
      <c r="O129" s="19"/>
      <c r="P129" s="19"/>
      <c r="Q129" s="19"/>
      <c r="R129" s="17"/>
    </row>
    <row r="130" spans="1:18">
      <c r="A130" s="17"/>
      <c r="C130" s="19"/>
      <c r="D130" s="19"/>
      <c r="E130" s="19"/>
      <c r="F130" s="19"/>
      <c r="G130" s="19"/>
      <c r="H130" s="19"/>
      <c r="I130" s="19"/>
      <c r="J130" s="19"/>
      <c r="K130" s="19"/>
      <c r="L130" s="19"/>
      <c r="M130" s="19"/>
      <c r="N130" s="19"/>
      <c r="O130" s="19"/>
      <c r="P130" s="19"/>
      <c r="Q130" s="19"/>
      <c r="R130" s="17"/>
    </row>
    <row r="131" spans="1:18">
      <c r="A131" s="17"/>
      <c r="C131" s="19"/>
      <c r="D131" s="19"/>
      <c r="E131" s="19"/>
      <c r="F131" s="19"/>
      <c r="G131" s="19"/>
      <c r="H131" s="19"/>
      <c r="I131" s="19"/>
      <c r="J131" s="19"/>
      <c r="K131" s="19"/>
      <c r="L131" s="19"/>
      <c r="M131" s="19"/>
      <c r="N131" s="19"/>
      <c r="O131" s="19"/>
      <c r="P131" s="19"/>
      <c r="Q131" s="19"/>
      <c r="R131" s="17"/>
    </row>
    <row r="132" spans="1:18">
      <c r="A132" s="17"/>
      <c r="C132" s="19"/>
      <c r="D132" s="19"/>
      <c r="E132" s="19"/>
      <c r="F132" s="19"/>
      <c r="G132" s="19"/>
      <c r="H132" s="19"/>
      <c r="I132" s="19"/>
      <c r="J132" s="19"/>
      <c r="K132" s="19"/>
      <c r="L132" s="19"/>
      <c r="M132" s="19"/>
      <c r="N132" s="19"/>
      <c r="O132" s="19"/>
      <c r="P132" s="19"/>
      <c r="Q132" s="19"/>
      <c r="R132" s="17"/>
    </row>
    <row r="133" spans="1:18">
      <c r="A133" s="17"/>
      <c r="C133" s="19"/>
      <c r="D133" s="19"/>
      <c r="E133" s="19"/>
      <c r="F133" s="19"/>
      <c r="G133" s="19"/>
      <c r="H133" s="19"/>
      <c r="I133" s="19"/>
      <c r="J133" s="19"/>
      <c r="K133" s="19"/>
      <c r="L133" s="19"/>
      <c r="M133" s="19"/>
      <c r="N133" s="19"/>
      <c r="O133" s="19"/>
      <c r="P133" s="19"/>
      <c r="Q133" s="19"/>
      <c r="R133" s="17"/>
    </row>
    <row r="134" spans="1:18">
      <c r="A134" s="17"/>
      <c r="C134" s="19"/>
      <c r="D134" s="19"/>
      <c r="E134" s="19"/>
      <c r="F134" s="19"/>
      <c r="G134" s="19"/>
      <c r="H134" s="19"/>
      <c r="I134" s="19"/>
      <c r="J134" s="19"/>
      <c r="K134" s="19"/>
      <c r="L134" s="19"/>
      <c r="M134" s="19"/>
      <c r="N134" s="19"/>
      <c r="O134" s="19"/>
      <c r="P134" s="19"/>
      <c r="Q134" s="19"/>
      <c r="R134" s="17"/>
    </row>
    <row r="135" spans="1:18">
      <c r="A135" s="17"/>
      <c r="C135" s="19"/>
      <c r="D135" s="19"/>
      <c r="E135" s="19"/>
      <c r="F135" s="19"/>
      <c r="G135" s="19"/>
      <c r="H135" s="19"/>
      <c r="I135" s="19"/>
      <c r="J135" s="19"/>
      <c r="K135" s="19"/>
      <c r="L135" s="19"/>
      <c r="M135" s="19"/>
      <c r="N135" s="19"/>
      <c r="O135" s="19"/>
      <c r="P135" s="19"/>
      <c r="Q135" s="19"/>
      <c r="R135" s="17"/>
    </row>
    <row r="136" spans="1:18">
      <c r="A136" s="17"/>
      <c r="C136" s="19"/>
      <c r="D136" s="19"/>
      <c r="E136" s="19"/>
      <c r="F136" s="19"/>
      <c r="G136" s="19"/>
      <c r="H136" s="19"/>
      <c r="I136" s="19"/>
      <c r="J136" s="19"/>
      <c r="K136" s="19"/>
      <c r="L136" s="19"/>
      <c r="M136" s="19"/>
      <c r="N136" s="19"/>
      <c r="O136" s="19"/>
      <c r="P136" s="19"/>
      <c r="Q136" s="19"/>
      <c r="R136" s="17"/>
    </row>
    <row r="137" spans="1:18">
      <c r="A137" s="17"/>
      <c r="C137" s="19"/>
      <c r="D137" s="19"/>
      <c r="E137" s="19"/>
      <c r="F137" s="19"/>
      <c r="G137" s="19"/>
      <c r="H137" s="19"/>
      <c r="I137" s="19"/>
      <c r="J137" s="19"/>
      <c r="K137" s="19"/>
      <c r="L137" s="19"/>
      <c r="M137" s="19"/>
      <c r="N137" s="19"/>
      <c r="O137" s="19"/>
      <c r="P137" s="19"/>
      <c r="Q137" s="19"/>
      <c r="R137" s="17"/>
    </row>
    <row r="138" spans="1:18">
      <c r="A138" s="17"/>
      <c r="C138" s="19"/>
      <c r="D138" s="19"/>
      <c r="E138" s="19"/>
      <c r="F138" s="19"/>
      <c r="G138" s="19"/>
      <c r="H138" s="19"/>
      <c r="I138" s="19"/>
      <c r="J138" s="19"/>
      <c r="K138" s="19"/>
      <c r="L138" s="19"/>
      <c r="M138" s="19"/>
      <c r="N138" s="19"/>
      <c r="O138" s="19"/>
      <c r="P138" s="19"/>
      <c r="Q138" s="19"/>
      <c r="R138" s="17"/>
    </row>
    <row r="139" spans="1:18">
      <c r="A139" s="17"/>
      <c r="C139" s="19"/>
      <c r="D139" s="19"/>
      <c r="E139" s="19"/>
      <c r="F139" s="19"/>
      <c r="G139" s="19"/>
      <c r="H139" s="19"/>
      <c r="I139" s="19"/>
      <c r="J139" s="19"/>
      <c r="K139" s="19"/>
      <c r="L139" s="19"/>
      <c r="M139" s="19"/>
      <c r="N139" s="19"/>
      <c r="O139" s="19"/>
      <c r="P139" s="19"/>
      <c r="Q139" s="19"/>
      <c r="R139" s="17"/>
    </row>
    <row r="140" spans="1:18">
      <c r="A140" s="17"/>
      <c r="C140" s="19"/>
      <c r="D140" s="19"/>
      <c r="E140" s="19"/>
      <c r="F140" s="19"/>
      <c r="G140" s="19"/>
      <c r="H140" s="19"/>
      <c r="I140" s="19"/>
      <c r="J140" s="19"/>
      <c r="K140" s="19"/>
      <c r="L140" s="19"/>
      <c r="M140" s="19"/>
      <c r="N140" s="19"/>
      <c r="O140" s="19"/>
      <c r="P140" s="19"/>
      <c r="Q140" s="19"/>
      <c r="R140" s="17"/>
    </row>
    <row r="141" spans="1:18">
      <c r="A141" s="17"/>
      <c r="C141" s="19"/>
      <c r="D141" s="19"/>
      <c r="E141" s="19"/>
      <c r="F141" s="19"/>
      <c r="G141" s="19"/>
      <c r="H141" s="19"/>
      <c r="I141" s="19"/>
      <c r="J141" s="19"/>
      <c r="K141" s="19"/>
      <c r="L141" s="19"/>
      <c r="M141" s="19"/>
      <c r="N141" s="19"/>
      <c r="O141" s="19"/>
      <c r="P141" s="19"/>
      <c r="Q141" s="19"/>
      <c r="R141" s="17"/>
    </row>
    <row r="142" spans="1:18">
      <c r="A142" s="17"/>
      <c r="C142" s="19"/>
      <c r="D142" s="19"/>
      <c r="E142" s="19"/>
      <c r="F142" s="19"/>
      <c r="G142" s="19"/>
      <c r="H142" s="19"/>
      <c r="I142" s="19"/>
      <c r="J142" s="19"/>
      <c r="K142" s="19"/>
      <c r="L142" s="19"/>
      <c r="M142" s="19"/>
      <c r="N142" s="19"/>
      <c r="O142" s="19"/>
      <c r="P142" s="19"/>
      <c r="Q142" s="19"/>
      <c r="R142" s="17"/>
    </row>
    <row r="143" spans="1:18">
      <c r="A143" s="17"/>
      <c r="C143" s="19"/>
      <c r="D143" s="19"/>
      <c r="E143" s="19"/>
      <c r="F143" s="19"/>
      <c r="G143" s="19"/>
      <c r="H143" s="19"/>
      <c r="I143" s="19"/>
      <c r="J143" s="19"/>
      <c r="K143" s="19"/>
      <c r="L143" s="19"/>
      <c r="M143" s="19"/>
      <c r="N143" s="19"/>
      <c r="O143" s="19"/>
      <c r="P143" s="19"/>
      <c r="Q143" s="19"/>
      <c r="R143" s="17"/>
    </row>
    <row r="144" spans="1:18">
      <c r="A144" s="17"/>
      <c r="C144" s="19"/>
      <c r="D144" s="19"/>
      <c r="E144" s="19"/>
      <c r="F144" s="19"/>
      <c r="G144" s="19"/>
      <c r="H144" s="19"/>
      <c r="I144" s="19"/>
      <c r="J144" s="19"/>
      <c r="K144" s="19"/>
      <c r="L144" s="19"/>
      <c r="M144" s="19"/>
      <c r="N144" s="19"/>
      <c r="O144" s="19"/>
      <c r="P144" s="19"/>
      <c r="Q144" s="19"/>
      <c r="R144" s="17"/>
    </row>
    <row r="145" spans="1:18">
      <c r="A145" s="17"/>
      <c r="C145" s="19"/>
      <c r="D145" s="19"/>
      <c r="E145" s="19"/>
      <c r="F145" s="19"/>
      <c r="G145" s="19"/>
      <c r="H145" s="19"/>
      <c r="I145" s="19"/>
      <c r="J145" s="19"/>
      <c r="K145" s="19"/>
      <c r="L145" s="19"/>
      <c r="M145" s="19"/>
      <c r="N145" s="19"/>
      <c r="O145" s="19"/>
      <c r="P145" s="19"/>
      <c r="Q145" s="19"/>
      <c r="R145" s="17"/>
    </row>
    <row r="146" spans="1:18">
      <c r="A146" s="17"/>
      <c r="C146" s="19"/>
      <c r="D146" s="19"/>
      <c r="E146" s="19"/>
      <c r="F146" s="19"/>
      <c r="G146" s="19"/>
      <c r="H146" s="19"/>
      <c r="I146" s="19"/>
      <c r="J146" s="19"/>
      <c r="K146" s="19"/>
      <c r="L146" s="19"/>
      <c r="M146" s="19"/>
      <c r="N146" s="19"/>
      <c r="O146" s="19"/>
      <c r="P146" s="19"/>
      <c r="Q146" s="19"/>
      <c r="R146" s="17"/>
    </row>
    <row r="147" spans="1:18">
      <c r="A147" s="17"/>
      <c r="C147" s="19"/>
      <c r="D147" s="19"/>
      <c r="E147" s="19"/>
      <c r="F147" s="19"/>
      <c r="G147" s="19"/>
      <c r="H147" s="19"/>
      <c r="I147" s="19"/>
      <c r="J147" s="19"/>
      <c r="K147" s="19"/>
      <c r="L147" s="19"/>
      <c r="M147" s="19"/>
      <c r="N147" s="19"/>
      <c r="O147" s="19"/>
      <c r="P147" s="19"/>
      <c r="Q147" s="19"/>
      <c r="R147" s="17"/>
    </row>
    <row r="148" spans="1:18">
      <c r="A148" s="17"/>
      <c r="C148" s="19"/>
      <c r="D148" s="19"/>
      <c r="E148" s="19"/>
      <c r="F148" s="19"/>
      <c r="G148" s="19"/>
      <c r="H148" s="19"/>
      <c r="I148" s="19"/>
      <c r="J148" s="19"/>
      <c r="K148" s="19"/>
      <c r="L148" s="19"/>
      <c r="M148" s="19"/>
      <c r="N148" s="19"/>
      <c r="O148" s="19"/>
      <c r="P148" s="19"/>
      <c r="Q148" s="19"/>
      <c r="R148" s="17"/>
    </row>
    <row r="149" spans="1:18">
      <c r="A149" s="17"/>
      <c r="C149" s="19"/>
      <c r="D149" s="19"/>
      <c r="E149" s="19"/>
      <c r="F149" s="19"/>
      <c r="G149" s="19"/>
      <c r="H149" s="19"/>
      <c r="I149" s="19"/>
      <c r="J149" s="19"/>
      <c r="K149" s="19"/>
      <c r="L149" s="19"/>
      <c r="M149" s="19"/>
      <c r="N149" s="19"/>
      <c r="O149" s="19"/>
      <c r="P149" s="19"/>
      <c r="Q149" s="19"/>
      <c r="R149" s="17"/>
    </row>
    <row r="150" spans="1:18">
      <c r="A150" s="17"/>
      <c r="C150" s="19"/>
      <c r="D150" s="19"/>
      <c r="E150" s="19"/>
      <c r="F150" s="19"/>
      <c r="G150" s="19"/>
      <c r="H150" s="19"/>
      <c r="I150" s="19"/>
      <c r="J150" s="19"/>
      <c r="K150" s="19"/>
      <c r="L150" s="19"/>
      <c r="M150" s="19"/>
      <c r="N150" s="19"/>
      <c r="O150" s="19"/>
      <c r="P150" s="19"/>
      <c r="Q150" s="19"/>
      <c r="R150" s="17"/>
    </row>
    <row r="151" spans="1:18">
      <c r="A151" s="17"/>
      <c r="C151" s="19"/>
      <c r="D151" s="19"/>
      <c r="E151" s="19"/>
      <c r="F151" s="19"/>
      <c r="G151" s="19"/>
      <c r="H151" s="19"/>
      <c r="I151" s="19"/>
      <c r="J151" s="19"/>
      <c r="K151" s="19"/>
      <c r="L151" s="19"/>
      <c r="M151" s="19"/>
      <c r="N151" s="19"/>
      <c r="O151" s="19"/>
      <c r="P151" s="19"/>
      <c r="Q151" s="19"/>
      <c r="R151" s="17"/>
    </row>
    <row r="152" spans="1:18">
      <c r="A152" s="17"/>
      <c r="C152" s="19"/>
      <c r="D152" s="19"/>
      <c r="E152" s="19"/>
      <c r="F152" s="19"/>
      <c r="G152" s="19"/>
      <c r="H152" s="19"/>
      <c r="I152" s="19"/>
      <c r="J152" s="19"/>
      <c r="K152" s="19"/>
      <c r="L152" s="19"/>
      <c r="M152" s="19"/>
      <c r="N152" s="19"/>
      <c r="O152" s="19"/>
      <c r="P152" s="19"/>
      <c r="Q152" s="19"/>
      <c r="R152" s="17"/>
    </row>
    <row r="153" spans="1:18">
      <c r="A153" s="17"/>
      <c r="C153" s="19"/>
      <c r="D153" s="19"/>
      <c r="E153" s="19"/>
      <c r="F153" s="19"/>
      <c r="G153" s="19"/>
      <c r="H153" s="19"/>
      <c r="I153" s="19"/>
      <c r="J153" s="19"/>
      <c r="K153" s="19"/>
      <c r="L153" s="19"/>
      <c r="M153" s="19"/>
      <c r="N153" s="19"/>
      <c r="O153" s="19"/>
      <c r="P153" s="19"/>
      <c r="Q153" s="19"/>
      <c r="R153" s="17"/>
    </row>
    <row r="154" spans="1:18">
      <c r="A154" s="17"/>
      <c r="C154" s="19"/>
      <c r="D154" s="19"/>
      <c r="E154" s="19"/>
      <c r="F154" s="19"/>
      <c r="G154" s="19"/>
      <c r="H154" s="19"/>
      <c r="I154" s="19"/>
      <c r="J154" s="19"/>
      <c r="K154" s="19"/>
      <c r="L154" s="19"/>
      <c r="M154" s="19"/>
      <c r="N154" s="19"/>
      <c r="O154" s="19"/>
      <c r="P154" s="19"/>
      <c r="Q154" s="19"/>
      <c r="R154" s="17"/>
    </row>
    <row r="155" spans="1:18">
      <c r="A155" s="17"/>
      <c r="C155" s="19"/>
      <c r="D155" s="19"/>
      <c r="E155" s="19"/>
      <c r="F155" s="19"/>
      <c r="G155" s="19"/>
      <c r="H155" s="19"/>
      <c r="I155" s="19"/>
      <c r="J155" s="19"/>
      <c r="K155" s="19"/>
      <c r="L155" s="19"/>
      <c r="M155" s="19"/>
      <c r="N155" s="19"/>
      <c r="O155" s="19"/>
      <c r="P155" s="19"/>
      <c r="Q155" s="19"/>
      <c r="R155" s="17"/>
    </row>
    <row r="156" spans="1:18">
      <c r="A156" s="17"/>
      <c r="C156" s="19"/>
      <c r="D156" s="19"/>
      <c r="E156" s="19"/>
      <c r="F156" s="19"/>
      <c r="G156" s="19"/>
      <c r="H156" s="19"/>
      <c r="I156" s="19"/>
      <c r="J156" s="19"/>
      <c r="K156" s="19"/>
      <c r="L156" s="19"/>
      <c r="M156" s="19"/>
      <c r="N156" s="19"/>
      <c r="O156" s="19"/>
      <c r="P156" s="19"/>
      <c r="Q156" s="19"/>
      <c r="R156" s="17"/>
    </row>
    <row r="157" spans="1:18">
      <c r="A157" s="17"/>
      <c r="C157" s="19"/>
      <c r="D157" s="19"/>
      <c r="E157" s="19"/>
      <c r="F157" s="19"/>
      <c r="G157" s="19"/>
      <c r="H157" s="19"/>
      <c r="I157" s="19"/>
      <c r="J157" s="19"/>
      <c r="K157" s="19"/>
      <c r="L157" s="19"/>
      <c r="M157" s="19"/>
      <c r="N157" s="19"/>
      <c r="O157" s="19"/>
      <c r="P157" s="19"/>
      <c r="Q157" s="19"/>
      <c r="R157" s="17"/>
    </row>
    <row r="158" spans="1:18">
      <c r="A158" s="17"/>
      <c r="C158" s="19"/>
      <c r="D158" s="19"/>
      <c r="E158" s="19"/>
      <c r="F158" s="19"/>
      <c r="G158" s="19"/>
      <c r="H158" s="19"/>
      <c r="I158" s="19"/>
      <c r="J158" s="19"/>
      <c r="K158" s="19"/>
      <c r="L158" s="19"/>
      <c r="M158" s="19"/>
      <c r="N158" s="19"/>
      <c r="O158" s="19"/>
      <c r="P158" s="19"/>
      <c r="Q158" s="19"/>
      <c r="R158" s="17"/>
    </row>
    <row r="159" spans="1:18">
      <c r="A159" s="17"/>
      <c r="C159" s="19"/>
      <c r="D159" s="19"/>
      <c r="E159" s="19"/>
      <c r="F159" s="19"/>
      <c r="G159" s="19"/>
      <c r="H159" s="19"/>
      <c r="I159" s="19"/>
      <c r="J159" s="19"/>
      <c r="K159" s="19"/>
      <c r="L159" s="19"/>
      <c r="M159" s="19"/>
      <c r="N159" s="19"/>
      <c r="O159" s="19"/>
      <c r="P159" s="19"/>
      <c r="Q159" s="19"/>
      <c r="R159" s="17"/>
    </row>
    <row r="160" spans="1:18">
      <c r="A160" s="17"/>
      <c r="C160" s="19"/>
      <c r="D160" s="19"/>
      <c r="E160" s="19"/>
      <c r="F160" s="19"/>
      <c r="G160" s="19"/>
      <c r="H160" s="19"/>
      <c r="I160" s="19"/>
      <c r="J160" s="19"/>
      <c r="K160" s="19"/>
      <c r="L160" s="19"/>
      <c r="M160" s="19"/>
      <c r="N160" s="19"/>
      <c r="O160" s="19"/>
      <c r="P160" s="19"/>
      <c r="Q160" s="19"/>
      <c r="R160" s="17"/>
    </row>
    <row r="161" spans="1:18">
      <c r="A161" s="17"/>
      <c r="C161" s="19"/>
      <c r="D161" s="19"/>
      <c r="E161" s="19"/>
      <c r="F161" s="19"/>
      <c r="G161" s="19"/>
      <c r="H161" s="19"/>
      <c r="I161" s="19"/>
      <c r="J161" s="19"/>
      <c r="K161" s="19"/>
      <c r="L161" s="19"/>
      <c r="M161" s="19"/>
      <c r="N161" s="19"/>
      <c r="O161" s="19"/>
      <c r="P161" s="19"/>
      <c r="Q161" s="19"/>
      <c r="R161" s="17"/>
    </row>
    <row r="162" spans="1:18">
      <c r="A162" s="17"/>
      <c r="C162" s="19"/>
      <c r="D162" s="19"/>
      <c r="E162" s="19"/>
      <c r="F162" s="19"/>
      <c r="G162" s="19"/>
      <c r="H162" s="19"/>
      <c r="I162" s="19"/>
      <c r="J162" s="19"/>
      <c r="K162" s="19"/>
      <c r="L162" s="19"/>
      <c r="M162" s="19"/>
      <c r="N162" s="19"/>
      <c r="O162" s="19"/>
      <c r="P162" s="19"/>
      <c r="Q162" s="19"/>
      <c r="R162" s="17"/>
    </row>
    <row r="163" spans="1:18">
      <c r="A163" s="17"/>
      <c r="C163" s="19"/>
      <c r="D163" s="19"/>
      <c r="E163" s="19"/>
      <c r="F163" s="19"/>
      <c r="G163" s="19"/>
      <c r="H163" s="19"/>
      <c r="I163" s="19"/>
      <c r="J163" s="19"/>
      <c r="K163" s="19"/>
      <c r="L163" s="19"/>
      <c r="M163" s="19"/>
      <c r="N163" s="19"/>
      <c r="O163" s="19"/>
      <c r="P163" s="19"/>
      <c r="Q163" s="19"/>
      <c r="R163" s="17"/>
    </row>
    <row r="164" spans="1:18">
      <c r="A164" s="17"/>
      <c r="C164" s="19"/>
      <c r="D164" s="19"/>
      <c r="E164" s="19"/>
      <c r="F164" s="19"/>
      <c r="G164" s="19"/>
      <c r="H164" s="19"/>
      <c r="I164" s="19"/>
      <c r="J164" s="19"/>
      <c r="K164" s="19"/>
      <c r="L164" s="19"/>
      <c r="M164" s="19"/>
      <c r="N164" s="19"/>
      <c r="O164" s="19"/>
      <c r="P164" s="19"/>
      <c r="Q164" s="19"/>
      <c r="R164" s="17"/>
    </row>
    <row r="165" spans="1:18">
      <c r="A165" s="17"/>
      <c r="C165" s="19"/>
      <c r="D165" s="19"/>
      <c r="E165" s="19"/>
      <c r="F165" s="19"/>
      <c r="G165" s="19"/>
      <c r="H165" s="19"/>
      <c r="I165" s="19"/>
      <c r="J165" s="19"/>
      <c r="K165" s="19"/>
      <c r="L165" s="19"/>
      <c r="M165" s="19"/>
      <c r="N165" s="19"/>
      <c r="O165" s="19"/>
      <c r="P165" s="19"/>
      <c r="Q165" s="19"/>
      <c r="R165" s="17"/>
    </row>
    <row r="166" spans="1:18">
      <c r="A166" s="17"/>
      <c r="C166" s="19"/>
      <c r="D166" s="19"/>
      <c r="E166" s="19"/>
      <c r="F166" s="19"/>
      <c r="G166" s="19"/>
      <c r="H166" s="19"/>
      <c r="I166" s="19"/>
      <c r="J166" s="19"/>
      <c r="K166" s="19"/>
      <c r="L166" s="19"/>
      <c r="M166" s="19"/>
      <c r="N166" s="19"/>
      <c r="O166" s="19"/>
      <c r="P166" s="19"/>
      <c r="Q166" s="19"/>
      <c r="R166" s="17"/>
    </row>
    <row r="167" spans="1:18">
      <c r="A167" s="17"/>
      <c r="C167" s="19"/>
      <c r="D167" s="19"/>
      <c r="E167" s="19"/>
      <c r="F167" s="19"/>
      <c r="G167" s="19"/>
      <c r="H167" s="19"/>
      <c r="I167" s="19"/>
      <c r="J167" s="19"/>
      <c r="K167" s="19"/>
      <c r="L167" s="19"/>
      <c r="M167" s="19"/>
      <c r="N167" s="19"/>
      <c r="O167" s="19"/>
      <c r="P167" s="19"/>
      <c r="Q167" s="19"/>
      <c r="R167" s="17"/>
    </row>
    <row r="168" spans="1:18">
      <c r="A168" s="17"/>
      <c r="C168" s="19"/>
      <c r="D168" s="19"/>
      <c r="E168" s="19"/>
      <c r="F168" s="19"/>
      <c r="G168" s="19"/>
      <c r="H168" s="19"/>
      <c r="I168" s="19"/>
      <c r="J168" s="19"/>
      <c r="K168" s="19"/>
      <c r="L168" s="19"/>
      <c r="M168" s="19"/>
      <c r="N168" s="19"/>
      <c r="O168" s="19"/>
      <c r="P168" s="19"/>
      <c r="Q168" s="19"/>
      <c r="R168" s="17"/>
    </row>
    <row r="169" spans="1:18">
      <c r="A169" s="17"/>
      <c r="C169" s="19"/>
      <c r="D169" s="19"/>
      <c r="E169" s="19"/>
      <c r="F169" s="19"/>
      <c r="G169" s="19"/>
      <c r="H169" s="19"/>
      <c r="I169" s="19"/>
      <c r="J169" s="19"/>
      <c r="K169" s="19"/>
      <c r="L169" s="19"/>
      <c r="M169" s="19"/>
      <c r="N169" s="19"/>
      <c r="O169" s="19"/>
      <c r="P169" s="19"/>
      <c r="Q169" s="19"/>
      <c r="R169" s="17"/>
    </row>
    <row r="170" spans="1:18">
      <c r="A170" s="17"/>
      <c r="C170" s="19"/>
      <c r="D170" s="19"/>
      <c r="E170" s="19"/>
      <c r="F170" s="19"/>
      <c r="G170" s="19"/>
      <c r="H170" s="19"/>
      <c r="I170" s="19"/>
      <c r="J170" s="19"/>
      <c r="K170" s="19"/>
      <c r="L170" s="19"/>
      <c r="M170" s="19"/>
      <c r="N170" s="19"/>
      <c r="O170" s="19"/>
      <c r="P170" s="19"/>
      <c r="Q170" s="19"/>
      <c r="R170" s="17"/>
    </row>
    <row r="171" spans="1:18">
      <c r="A171" s="17"/>
      <c r="C171" s="19"/>
      <c r="D171" s="19"/>
      <c r="E171" s="19"/>
      <c r="F171" s="19"/>
      <c r="G171" s="19"/>
      <c r="H171" s="19"/>
      <c r="I171" s="19"/>
      <c r="J171" s="19"/>
      <c r="K171" s="19"/>
      <c r="L171" s="19"/>
      <c r="M171" s="19"/>
      <c r="N171" s="19"/>
      <c r="O171" s="19"/>
      <c r="P171" s="19"/>
      <c r="Q171" s="19"/>
      <c r="R171" s="17"/>
    </row>
    <row r="172" spans="1:18">
      <c r="A172" s="17"/>
      <c r="C172" s="19"/>
      <c r="D172" s="19"/>
      <c r="E172" s="19"/>
      <c r="F172" s="19"/>
      <c r="G172" s="19"/>
      <c r="H172" s="19"/>
      <c r="I172" s="19"/>
      <c r="J172" s="19"/>
      <c r="K172" s="19"/>
      <c r="L172" s="19"/>
      <c r="M172" s="19"/>
      <c r="N172" s="19"/>
      <c r="O172" s="19"/>
      <c r="P172" s="19"/>
      <c r="Q172" s="19"/>
      <c r="R172" s="17"/>
    </row>
    <row r="173" spans="1:18">
      <c r="A173" s="17"/>
      <c r="C173" s="19"/>
      <c r="D173" s="19"/>
      <c r="E173" s="19"/>
      <c r="F173" s="19"/>
      <c r="G173" s="19"/>
      <c r="H173" s="19"/>
      <c r="I173" s="19"/>
      <c r="J173" s="19"/>
      <c r="K173" s="19"/>
      <c r="L173" s="19"/>
      <c r="M173" s="19"/>
      <c r="N173" s="19"/>
      <c r="O173" s="19"/>
      <c r="P173" s="19"/>
      <c r="Q173" s="19"/>
      <c r="R173" s="17"/>
    </row>
    <row r="174" spans="1:18">
      <c r="A174" s="17"/>
      <c r="C174" s="19"/>
      <c r="D174" s="19"/>
      <c r="E174" s="19"/>
      <c r="F174" s="19"/>
      <c r="G174" s="19"/>
      <c r="H174" s="19"/>
      <c r="I174" s="19"/>
      <c r="J174" s="19"/>
      <c r="K174" s="19"/>
      <c r="L174" s="19"/>
      <c r="M174" s="19"/>
      <c r="N174" s="19"/>
      <c r="O174" s="19"/>
      <c r="P174" s="19"/>
      <c r="Q174" s="19"/>
      <c r="R174" s="17"/>
    </row>
    <row r="175" spans="1:18">
      <c r="A175" s="17"/>
      <c r="C175" s="19"/>
      <c r="D175" s="19"/>
      <c r="E175" s="19"/>
      <c r="F175" s="19"/>
      <c r="G175" s="19"/>
      <c r="H175" s="19"/>
      <c r="I175" s="19"/>
      <c r="J175" s="19"/>
      <c r="K175" s="19"/>
      <c r="L175" s="19"/>
      <c r="M175" s="19"/>
      <c r="N175" s="19"/>
      <c r="O175" s="19"/>
      <c r="P175" s="19"/>
      <c r="Q175" s="19"/>
      <c r="R175" s="17"/>
    </row>
    <row r="176" spans="1:18">
      <c r="A176" s="17"/>
      <c r="C176" s="19"/>
      <c r="D176" s="19"/>
      <c r="E176" s="19"/>
      <c r="F176" s="19"/>
      <c r="G176" s="19"/>
      <c r="H176" s="19"/>
      <c r="I176" s="19"/>
      <c r="J176" s="19"/>
      <c r="K176" s="19"/>
      <c r="L176" s="19"/>
      <c r="M176" s="19"/>
      <c r="N176" s="19"/>
      <c r="O176" s="19"/>
      <c r="P176" s="19"/>
      <c r="Q176" s="19"/>
      <c r="R176" s="17"/>
    </row>
    <row r="177" spans="1:18">
      <c r="A177" s="17"/>
      <c r="C177" s="19"/>
      <c r="D177" s="19"/>
      <c r="E177" s="19"/>
      <c r="F177" s="19"/>
      <c r="G177" s="19"/>
      <c r="H177" s="19"/>
      <c r="I177" s="19"/>
      <c r="J177" s="19"/>
      <c r="K177" s="19"/>
      <c r="L177" s="19"/>
      <c r="M177" s="19"/>
      <c r="N177" s="19"/>
      <c r="O177" s="19"/>
      <c r="P177" s="19"/>
      <c r="Q177" s="19"/>
      <c r="R177" s="17"/>
    </row>
    <row r="178" spans="1:18">
      <c r="A178" s="17"/>
      <c r="C178" s="19"/>
      <c r="D178" s="19"/>
      <c r="E178" s="19"/>
      <c r="F178" s="19"/>
      <c r="G178" s="19"/>
      <c r="H178" s="19"/>
      <c r="I178" s="19"/>
      <c r="J178" s="19"/>
      <c r="K178" s="19"/>
      <c r="L178" s="19"/>
      <c r="M178" s="19"/>
      <c r="N178" s="19"/>
      <c r="O178" s="19"/>
      <c r="P178" s="19"/>
      <c r="Q178" s="19"/>
      <c r="R178" s="17"/>
    </row>
    <row r="179" spans="1:18">
      <c r="A179" s="17"/>
      <c r="C179" s="19"/>
      <c r="D179" s="19"/>
      <c r="E179" s="19"/>
      <c r="F179" s="19"/>
      <c r="G179" s="19"/>
      <c r="H179" s="19"/>
      <c r="I179" s="19"/>
      <c r="J179" s="19"/>
      <c r="K179" s="19"/>
      <c r="L179" s="19"/>
      <c r="M179" s="19"/>
      <c r="N179" s="19"/>
      <c r="O179" s="19"/>
      <c r="P179" s="19"/>
      <c r="Q179" s="19"/>
      <c r="R179" s="17"/>
    </row>
    <row r="180" spans="1:18">
      <c r="A180" s="17"/>
      <c r="C180" s="19"/>
      <c r="D180" s="19"/>
      <c r="E180" s="19"/>
      <c r="F180" s="19"/>
      <c r="G180" s="19"/>
      <c r="H180" s="19"/>
      <c r="I180" s="19"/>
      <c r="J180" s="19"/>
      <c r="K180" s="19"/>
      <c r="L180" s="19"/>
      <c r="M180" s="19"/>
      <c r="N180" s="19"/>
      <c r="O180" s="19"/>
      <c r="P180" s="19"/>
      <c r="Q180" s="19"/>
      <c r="R180" s="17"/>
    </row>
    <row r="181" spans="1:18">
      <c r="A181" s="17"/>
      <c r="C181" s="19"/>
      <c r="D181" s="19"/>
      <c r="E181" s="19"/>
      <c r="F181" s="19"/>
      <c r="G181" s="19"/>
      <c r="H181" s="19"/>
      <c r="I181" s="19"/>
      <c r="J181" s="19"/>
      <c r="K181" s="19"/>
      <c r="L181" s="19"/>
      <c r="M181" s="19"/>
      <c r="N181" s="19"/>
      <c r="O181" s="19"/>
      <c r="P181" s="19"/>
      <c r="Q181" s="19"/>
      <c r="R181" s="17"/>
    </row>
    <row r="182" spans="1:18">
      <c r="A182" s="17"/>
      <c r="C182" s="19"/>
      <c r="D182" s="19"/>
      <c r="E182" s="19"/>
      <c r="F182" s="19"/>
      <c r="G182" s="19"/>
      <c r="H182" s="19"/>
      <c r="I182" s="19"/>
      <c r="J182" s="19"/>
      <c r="K182" s="19"/>
      <c r="L182" s="19"/>
      <c r="M182" s="19"/>
      <c r="N182" s="19"/>
      <c r="O182" s="19"/>
      <c r="P182" s="19"/>
      <c r="Q182" s="19"/>
      <c r="R182" s="17"/>
    </row>
    <row r="183" spans="1:18">
      <c r="A183" s="17"/>
      <c r="C183" s="19"/>
      <c r="D183" s="19"/>
      <c r="E183" s="19"/>
      <c r="F183" s="19"/>
      <c r="G183" s="19"/>
      <c r="H183" s="19"/>
      <c r="I183" s="19"/>
      <c r="J183" s="19"/>
      <c r="K183" s="19"/>
      <c r="L183" s="19"/>
      <c r="M183" s="19"/>
      <c r="N183" s="19"/>
      <c r="O183" s="19"/>
      <c r="P183" s="19"/>
      <c r="Q183" s="19"/>
      <c r="R183" s="17"/>
    </row>
    <row r="184" spans="1:18">
      <c r="A184" s="17"/>
      <c r="C184" s="19"/>
      <c r="D184" s="19"/>
      <c r="E184" s="19"/>
      <c r="F184" s="19"/>
      <c r="G184" s="19"/>
      <c r="H184" s="19"/>
      <c r="I184" s="19"/>
      <c r="J184" s="19"/>
      <c r="K184" s="19"/>
      <c r="L184" s="19"/>
      <c r="M184" s="19"/>
      <c r="N184" s="19"/>
      <c r="O184" s="19"/>
      <c r="P184" s="19"/>
      <c r="Q184" s="19"/>
      <c r="R184" s="17"/>
    </row>
    <row r="185" spans="1:18">
      <c r="A185" s="17"/>
      <c r="C185" s="19"/>
      <c r="D185" s="19"/>
      <c r="E185" s="19"/>
      <c r="F185" s="19"/>
      <c r="G185" s="19"/>
      <c r="H185" s="19"/>
      <c r="I185" s="19"/>
      <c r="J185" s="19"/>
      <c r="K185" s="19"/>
      <c r="L185" s="19"/>
      <c r="M185" s="19"/>
      <c r="N185" s="19"/>
      <c r="O185" s="19"/>
      <c r="P185" s="19"/>
      <c r="Q185" s="19"/>
      <c r="R185" s="17"/>
    </row>
    <row r="186" spans="1:18">
      <c r="A186" s="17"/>
      <c r="C186" s="19"/>
      <c r="D186" s="19"/>
      <c r="E186" s="19"/>
      <c r="F186" s="19"/>
      <c r="G186" s="19"/>
      <c r="H186" s="19"/>
      <c r="I186" s="19"/>
      <c r="J186" s="19"/>
      <c r="K186" s="19"/>
      <c r="L186" s="19"/>
      <c r="M186" s="19"/>
      <c r="N186" s="19"/>
      <c r="O186" s="19"/>
      <c r="P186" s="19"/>
      <c r="Q186" s="19"/>
      <c r="R186" s="17"/>
    </row>
    <row r="187" spans="1:18">
      <c r="A187" s="17"/>
      <c r="C187" s="19"/>
      <c r="D187" s="19"/>
      <c r="E187" s="19"/>
      <c r="F187" s="19"/>
      <c r="G187" s="19"/>
      <c r="H187" s="19"/>
      <c r="I187" s="19"/>
      <c r="J187" s="19"/>
      <c r="K187" s="19"/>
      <c r="L187" s="19"/>
      <c r="M187" s="19"/>
      <c r="N187" s="19"/>
      <c r="O187" s="19"/>
      <c r="P187" s="19"/>
      <c r="Q187" s="19"/>
      <c r="R187" s="17"/>
    </row>
    <row r="188" spans="1:18">
      <c r="A188" s="17"/>
      <c r="C188" s="19"/>
      <c r="D188" s="19"/>
      <c r="E188" s="19"/>
      <c r="F188" s="19"/>
      <c r="G188" s="19"/>
      <c r="H188" s="19"/>
      <c r="I188" s="19"/>
      <c r="J188" s="19"/>
      <c r="K188" s="19"/>
      <c r="L188" s="19"/>
      <c r="M188" s="19"/>
      <c r="N188" s="19"/>
      <c r="O188" s="19"/>
      <c r="P188" s="19"/>
      <c r="Q188" s="19"/>
      <c r="R188" s="17"/>
    </row>
    <row r="189" spans="1:18">
      <c r="A189" s="17"/>
      <c r="C189" s="19"/>
      <c r="D189" s="19"/>
      <c r="E189" s="19"/>
      <c r="F189" s="19"/>
      <c r="G189" s="19"/>
      <c r="H189" s="19"/>
      <c r="I189" s="19"/>
      <c r="J189" s="19"/>
      <c r="K189" s="19"/>
      <c r="L189" s="19"/>
      <c r="M189" s="19"/>
      <c r="N189" s="19"/>
      <c r="O189" s="19"/>
      <c r="P189" s="19"/>
      <c r="Q189" s="19"/>
      <c r="R189" s="17"/>
    </row>
    <row r="190" spans="1:18">
      <c r="A190" s="17"/>
      <c r="C190" s="19"/>
      <c r="D190" s="19"/>
      <c r="E190" s="19"/>
      <c r="F190" s="19"/>
      <c r="G190" s="19"/>
      <c r="H190" s="19"/>
      <c r="I190" s="19"/>
      <c r="J190" s="19"/>
      <c r="K190" s="19"/>
      <c r="L190" s="19"/>
      <c r="M190" s="19"/>
      <c r="N190" s="19"/>
      <c r="O190" s="19"/>
      <c r="P190" s="19"/>
      <c r="Q190" s="19"/>
      <c r="R190" s="17"/>
    </row>
    <row r="191" spans="1:18">
      <c r="A191" s="17"/>
      <c r="C191" s="19"/>
      <c r="D191" s="19"/>
      <c r="E191" s="19"/>
      <c r="F191" s="19"/>
      <c r="G191" s="19"/>
      <c r="H191" s="19"/>
      <c r="I191" s="19"/>
      <c r="J191" s="19"/>
      <c r="K191" s="19"/>
      <c r="L191" s="19"/>
      <c r="M191" s="19"/>
      <c r="N191" s="19"/>
      <c r="O191" s="19"/>
      <c r="P191" s="19"/>
      <c r="Q191" s="19"/>
      <c r="R191" s="17"/>
    </row>
    <row r="192" spans="1:18">
      <c r="A192" s="17"/>
      <c r="C192" s="19"/>
      <c r="D192" s="19"/>
      <c r="E192" s="19"/>
      <c r="F192" s="19"/>
      <c r="G192" s="19"/>
      <c r="H192" s="19"/>
      <c r="I192" s="19"/>
      <c r="J192" s="19"/>
      <c r="K192" s="19"/>
      <c r="L192" s="19"/>
      <c r="M192" s="19"/>
      <c r="N192" s="19"/>
      <c r="O192" s="19"/>
      <c r="P192" s="19"/>
      <c r="Q192" s="19"/>
      <c r="R192" s="17"/>
    </row>
    <row r="193" spans="1:18">
      <c r="A193" s="17"/>
      <c r="C193" s="19"/>
      <c r="D193" s="19"/>
      <c r="E193" s="19"/>
      <c r="F193" s="19"/>
      <c r="G193" s="19"/>
      <c r="H193" s="19"/>
      <c r="I193" s="19"/>
      <c r="J193" s="19"/>
      <c r="K193" s="19"/>
      <c r="L193" s="19"/>
      <c r="M193" s="19"/>
      <c r="N193" s="19"/>
      <c r="O193" s="19"/>
      <c r="P193" s="19"/>
      <c r="Q193" s="19"/>
      <c r="R193" s="17"/>
    </row>
    <row r="194" spans="1:18">
      <c r="A194" s="17"/>
      <c r="C194" s="19"/>
      <c r="D194" s="19"/>
      <c r="E194" s="19"/>
      <c r="F194" s="19"/>
      <c r="G194" s="19"/>
      <c r="H194" s="19"/>
      <c r="I194" s="19"/>
      <c r="J194" s="19"/>
      <c r="K194" s="19"/>
      <c r="L194" s="19"/>
      <c r="M194" s="19"/>
      <c r="N194" s="19"/>
      <c r="O194" s="19"/>
      <c r="P194" s="19"/>
      <c r="Q194" s="19"/>
      <c r="R194" s="17"/>
    </row>
    <row r="195" spans="1:18">
      <c r="A195" s="17"/>
      <c r="C195" s="19"/>
      <c r="D195" s="19"/>
      <c r="E195" s="19"/>
      <c r="F195" s="19"/>
      <c r="G195" s="19"/>
      <c r="H195" s="19"/>
      <c r="I195" s="19"/>
      <c r="J195" s="19"/>
      <c r="K195" s="19"/>
      <c r="L195" s="19"/>
      <c r="M195" s="19"/>
      <c r="N195" s="19"/>
      <c r="O195" s="19"/>
      <c r="P195" s="19"/>
      <c r="Q195" s="19"/>
      <c r="R195" s="17"/>
    </row>
    <row r="196" spans="1:18">
      <c r="A196" s="17"/>
      <c r="C196" s="19"/>
      <c r="D196" s="19"/>
      <c r="E196" s="19"/>
      <c r="F196" s="19"/>
      <c r="G196" s="19"/>
      <c r="H196" s="19"/>
      <c r="I196" s="19"/>
      <c r="J196" s="19"/>
      <c r="K196" s="19"/>
      <c r="L196" s="19"/>
      <c r="M196" s="19"/>
      <c r="N196" s="19"/>
      <c r="O196" s="19"/>
      <c r="P196" s="19"/>
      <c r="Q196" s="19"/>
      <c r="R196" s="17"/>
    </row>
    <row r="197" spans="1:18">
      <c r="A197" s="17"/>
      <c r="C197" s="19"/>
      <c r="D197" s="19"/>
      <c r="E197" s="19"/>
      <c r="F197" s="19"/>
      <c r="G197" s="19"/>
      <c r="H197" s="19"/>
      <c r="I197" s="19"/>
      <c r="J197" s="19"/>
      <c r="K197" s="19"/>
      <c r="L197" s="19"/>
      <c r="M197" s="19"/>
      <c r="N197" s="19"/>
      <c r="O197" s="19"/>
      <c r="P197" s="19"/>
      <c r="Q197" s="19"/>
      <c r="R197" s="17"/>
    </row>
    <row r="198" spans="1:18">
      <c r="A198" s="17"/>
      <c r="C198" s="19"/>
      <c r="D198" s="19"/>
      <c r="E198" s="19"/>
      <c r="F198" s="19"/>
      <c r="G198" s="19"/>
      <c r="H198" s="19"/>
      <c r="I198" s="19"/>
      <c r="J198" s="19"/>
      <c r="K198" s="19"/>
      <c r="L198" s="19"/>
      <c r="M198" s="19"/>
      <c r="N198" s="19"/>
      <c r="O198" s="19"/>
      <c r="P198" s="19"/>
      <c r="Q198" s="19"/>
      <c r="R198" s="17"/>
    </row>
    <row r="199" spans="1:18">
      <c r="A199" s="17"/>
      <c r="C199" s="19"/>
      <c r="D199" s="19"/>
      <c r="E199" s="19"/>
      <c r="F199" s="19"/>
      <c r="G199" s="19"/>
      <c r="H199" s="19"/>
      <c r="I199" s="19"/>
      <c r="J199" s="19"/>
      <c r="K199" s="19"/>
      <c r="L199" s="19"/>
      <c r="M199" s="19"/>
      <c r="N199" s="19"/>
      <c r="O199" s="19"/>
      <c r="P199" s="19"/>
      <c r="Q199" s="19"/>
      <c r="R199" s="17"/>
    </row>
    <row r="200" spans="1:18">
      <c r="A200" s="17"/>
      <c r="C200" s="19"/>
      <c r="D200" s="19"/>
      <c r="E200" s="19"/>
      <c r="F200" s="19"/>
      <c r="G200" s="19"/>
      <c r="H200" s="19"/>
      <c r="I200" s="19"/>
      <c r="J200" s="19"/>
      <c r="K200" s="19"/>
      <c r="L200" s="19"/>
      <c r="M200" s="19"/>
      <c r="N200" s="19"/>
      <c r="O200" s="19"/>
      <c r="P200" s="19"/>
      <c r="Q200" s="19"/>
      <c r="R200" s="17"/>
    </row>
    <row r="201" spans="1:18">
      <c r="A201" s="17"/>
      <c r="C201" s="19"/>
      <c r="D201" s="19"/>
      <c r="E201" s="19"/>
      <c r="F201" s="19"/>
      <c r="G201" s="19"/>
      <c r="H201" s="19"/>
      <c r="I201" s="19"/>
      <c r="J201" s="19"/>
      <c r="K201" s="19"/>
      <c r="L201" s="19"/>
      <c r="M201" s="19"/>
      <c r="N201" s="19"/>
      <c r="O201" s="19"/>
      <c r="P201" s="19"/>
      <c r="Q201" s="19"/>
      <c r="R201" s="17"/>
    </row>
    <row r="202" spans="1:18">
      <c r="A202" s="17"/>
      <c r="C202" s="19"/>
      <c r="D202" s="19"/>
      <c r="E202" s="19"/>
      <c r="F202" s="19"/>
      <c r="G202" s="19"/>
      <c r="H202" s="19"/>
      <c r="I202" s="19"/>
      <c r="J202" s="19"/>
      <c r="K202" s="19"/>
      <c r="L202" s="19"/>
      <c r="M202" s="19"/>
      <c r="N202" s="19"/>
      <c r="O202" s="19"/>
      <c r="P202" s="19"/>
      <c r="Q202" s="19"/>
      <c r="R202" s="17"/>
    </row>
    <row r="203" spans="1:18">
      <c r="A203" s="17"/>
      <c r="C203" s="19"/>
      <c r="D203" s="19"/>
      <c r="E203" s="19"/>
      <c r="F203" s="19"/>
      <c r="G203" s="19"/>
      <c r="H203" s="19"/>
      <c r="I203" s="19"/>
      <c r="J203" s="19"/>
      <c r="K203" s="19"/>
      <c r="L203" s="19"/>
      <c r="M203" s="19"/>
      <c r="N203" s="19"/>
      <c r="O203" s="19"/>
      <c r="P203" s="19"/>
      <c r="Q203" s="19"/>
      <c r="R203" s="17"/>
    </row>
    <row r="204" spans="1:18">
      <c r="A204" s="17"/>
      <c r="C204" s="19"/>
      <c r="D204" s="19"/>
      <c r="E204" s="19"/>
      <c r="F204" s="19"/>
      <c r="G204" s="19"/>
      <c r="H204" s="19"/>
      <c r="I204" s="19"/>
      <c r="J204" s="19"/>
      <c r="K204" s="19"/>
      <c r="L204" s="19"/>
      <c r="M204" s="19"/>
      <c r="N204" s="19"/>
      <c r="O204" s="19"/>
      <c r="P204" s="19"/>
      <c r="Q204" s="19"/>
      <c r="R204" s="17"/>
    </row>
    <row r="205" spans="1:18">
      <c r="A205" s="17"/>
      <c r="C205" s="19"/>
      <c r="D205" s="19"/>
      <c r="E205" s="19"/>
      <c r="F205" s="19"/>
      <c r="G205" s="19"/>
      <c r="H205" s="19"/>
      <c r="I205" s="19"/>
      <c r="J205" s="19"/>
      <c r="K205" s="19"/>
      <c r="L205" s="19"/>
      <c r="M205" s="19"/>
      <c r="N205" s="19"/>
      <c r="O205" s="19"/>
      <c r="P205" s="19"/>
      <c r="Q205" s="19"/>
      <c r="R205" s="17"/>
    </row>
    <row r="206" spans="1:18">
      <c r="A206" s="17"/>
      <c r="C206" s="19"/>
      <c r="D206" s="19"/>
      <c r="E206" s="19"/>
      <c r="F206" s="19"/>
      <c r="G206" s="19"/>
      <c r="H206" s="19"/>
      <c r="I206" s="19"/>
      <c r="J206" s="19"/>
      <c r="K206" s="19"/>
      <c r="L206" s="19"/>
      <c r="M206" s="19"/>
      <c r="N206" s="19"/>
      <c r="O206" s="19"/>
      <c r="P206" s="19"/>
      <c r="Q206" s="19"/>
      <c r="R206" s="17"/>
    </row>
    <row r="207" spans="1:18">
      <c r="A207" s="17"/>
      <c r="C207" s="19"/>
      <c r="D207" s="19"/>
      <c r="E207" s="19"/>
      <c r="F207" s="19"/>
      <c r="G207" s="19"/>
      <c r="H207" s="19"/>
      <c r="I207" s="19"/>
      <c r="J207" s="19"/>
      <c r="K207" s="19"/>
      <c r="L207" s="19"/>
      <c r="M207" s="19"/>
      <c r="N207" s="19"/>
      <c r="O207" s="19"/>
      <c r="P207" s="19"/>
      <c r="Q207" s="19"/>
      <c r="R207" s="17"/>
    </row>
    <row r="208" spans="1:18">
      <c r="A208" s="17"/>
      <c r="C208" s="19"/>
      <c r="D208" s="19"/>
      <c r="E208" s="19"/>
      <c r="F208" s="19"/>
      <c r="G208" s="19"/>
      <c r="H208" s="19"/>
      <c r="I208" s="19"/>
      <c r="J208" s="19"/>
      <c r="K208" s="19"/>
      <c r="L208" s="19"/>
      <c r="M208" s="19"/>
      <c r="N208" s="19"/>
      <c r="O208" s="19"/>
      <c r="P208" s="19"/>
      <c r="Q208" s="19"/>
      <c r="R208" s="17"/>
    </row>
    <row r="209" spans="1:18">
      <c r="A209" s="17"/>
      <c r="C209" s="19"/>
      <c r="D209" s="19"/>
      <c r="E209" s="19"/>
      <c r="F209" s="19"/>
      <c r="G209" s="19"/>
      <c r="H209" s="19"/>
      <c r="I209" s="19"/>
      <c r="J209" s="19"/>
      <c r="K209" s="19"/>
      <c r="L209" s="19"/>
      <c r="M209" s="19"/>
      <c r="N209" s="19"/>
      <c r="O209" s="19"/>
      <c r="P209" s="19"/>
      <c r="Q209" s="19"/>
      <c r="R209" s="17"/>
    </row>
    <row r="210" spans="1:18">
      <c r="A210" s="17"/>
      <c r="C210" s="19"/>
      <c r="D210" s="19"/>
      <c r="E210" s="19"/>
      <c r="F210" s="19"/>
      <c r="G210" s="19"/>
      <c r="H210" s="19"/>
      <c r="I210" s="19"/>
      <c r="J210" s="19"/>
      <c r="K210" s="19"/>
      <c r="L210" s="19"/>
      <c r="M210" s="19"/>
      <c r="N210" s="19"/>
      <c r="O210" s="19"/>
      <c r="P210" s="19"/>
      <c r="Q210" s="19"/>
      <c r="R210" s="17"/>
    </row>
    <row r="211" spans="1:18">
      <c r="A211" s="17"/>
      <c r="C211" s="19"/>
      <c r="D211" s="19"/>
      <c r="E211" s="19"/>
      <c r="F211" s="19"/>
      <c r="G211" s="19"/>
      <c r="H211" s="19"/>
      <c r="I211" s="19"/>
      <c r="J211" s="19"/>
      <c r="K211" s="19"/>
      <c r="L211" s="19"/>
      <c r="M211" s="19"/>
      <c r="N211" s="19"/>
      <c r="O211" s="19"/>
      <c r="P211" s="19"/>
      <c r="Q211" s="19"/>
      <c r="R211" s="17"/>
    </row>
    <row r="212" spans="1:18">
      <c r="A212" s="17"/>
      <c r="C212" s="19"/>
      <c r="D212" s="19"/>
      <c r="E212" s="19"/>
      <c r="F212" s="19"/>
      <c r="G212" s="19"/>
      <c r="H212" s="19"/>
      <c r="I212" s="19"/>
      <c r="J212" s="19"/>
      <c r="K212" s="19"/>
      <c r="L212" s="19"/>
      <c r="M212" s="19"/>
      <c r="N212" s="19"/>
      <c r="O212" s="19"/>
      <c r="P212" s="19"/>
      <c r="Q212" s="19"/>
      <c r="R212" s="17"/>
    </row>
    <row r="213" spans="1:18">
      <c r="A213" s="17"/>
      <c r="C213" s="19"/>
      <c r="D213" s="19"/>
      <c r="E213" s="19"/>
      <c r="F213" s="19"/>
      <c r="G213" s="19"/>
      <c r="H213" s="19"/>
      <c r="I213" s="19"/>
      <c r="J213" s="19"/>
      <c r="K213" s="19"/>
      <c r="L213" s="19"/>
      <c r="M213" s="19"/>
      <c r="N213" s="19"/>
      <c r="O213" s="19"/>
      <c r="P213" s="19"/>
      <c r="Q213" s="19"/>
      <c r="R213" s="17"/>
    </row>
    <row r="214" spans="1:18">
      <c r="A214" s="17"/>
      <c r="C214" s="19"/>
      <c r="D214" s="19"/>
      <c r="E214" s="19"/>
      <c r="F214" s="19"/>
      <c r="G214" s="19"/>
      <c r="H214" s="19"/>
      <c r="I214" s="19"/>
      <c r="J214" s="19"/>
      <c r="K214" s="19"/>
      <c r="L214" s="19"/>
      <c r="M214" s="19"/>
      <c r="N214" s="19"/>
      <c r="O214" s="19"/>
      <c r="P214" s="19"/>
      <c r="Q214" s="19"/>
      <c r="R214" s="17"/>
    </row>
    <row r="215" spans="1:18">
      <c r="A215" s="17"/>
      <c r="C215" s="19"/>
      <c r="D215" s="19"/>
      <c r="E215" s="19"/>
      <c r="F215" s="19"/>
      <c r="G215" s="19"/>
      <c r="H215" s="19"/>
      <c r="I215" s="19"/>
      <c r="J215" s="19"/>
      <c r="K215" s="19"/>
      <c r="L215" s="19"/>
      <c r="M215" s="19"/>
      <c r="N215" s="19"/>
      <c r="O215" s="19"/>
      <c r="P215" s="19"/>
      <c r="Q215" s="19"/>
      <c r="R215" s="17"/>
    </row>
    <row r="216" spans="1:18">
      <c r="A216" s="17"/>
      <c r="C216" s="19"/>
      <c r="D216" s="19"/>
      <c r="E216" s="19"/>
      <c r="F216" s="19"/>
      <c r="G216" s="19"/>
      <c r="H216" s="19"/>
      <c r="I216" s="19"/>
      <c r="J216" s="19"/>
      <c r="K216" s="19"/>
      <c r="L216" s="19"/>
      <c r="M216" s="19"/>
      <c r="N216" s="19"/>
      <c r="O216" s="19"/>
      <c r="P216" s="19"/>
      <c r="Q216" s="19"/>
      <c r="R216" s="17"/>
    </row>
    <row r="217" spans="1:18">
      <c r="A217" s="17"/>
      <c r="C217" s="19"/>
      <c r="D217" s="19"/>
      <c r="E217" s="19"/>
      <c r="F217" s="19"/>
      <c r="G217" s="19"/>
      <c r="H217" s="19"/>
      <c r="I217" s="19"/>
      <c r="J217" s="19"/>
      <c r="K217" s="19"/>
      <c r="L217" s="19"/>
      <c r="M217" s="19"/>
      <c r="N217" s="19"/>
      <c r="O217" s="19"/>
      <c r="P217" s="19"/>
      <c r="Q217" s="19"/>
      <c r="R217" s="17"/>
    </row>
    <row r="218" spans="1:18">
      <c r="A218" s="17"/>
      <c r="C218" s="19"/>
      <c r="D218" s="19"/>
      <c r="E218" s="19"/>
      <c r="F218" s="19"/>
      <c r="G218" s="19"/>
      <c r="H218" s="19"/>
      <c r="I218" s="19"/>
      <c r="J218" s="19"/>
      <c r="K218" s="19"/>
      <c r="L218" s="19"/>
      <c r="M218" s="19"/>
      <c r="N218" s="19"/>
      <c r="O218" s="19"/>
      <c r="P218" s="19"/>
      <c r="Q218" s="19"/>
      <c r="R218" s="17"/>
    </row>
    <row r="219" spans="1:18">
      <c r="A219" s="17"/>
      <c r="C219" s="19"/>
      <c r="D219" s="19"/>
      <c r="E219" s="19"/>
      <c r="F219" s="19"/>
      <c r="G219" s="19"/>
      <c r="H219" s="19"/>
      <c r="I219" s="19"/>
      <c r="J219" s="19"/>
      <c r="K219" s="19"/>
      <c r="L219" s="19"/>
      <c r="M219" s="19"/>
      <c r="N219" s="19"/>
      <c r="O219" s="19"/>
      <c r="P219" s="19"/>
      <c r="Q219" s="19"/>
      <c r="R219" s="17"/>
    </row>
    <row r="220" spans="1:18">
      <c r="A220" s="17"/>
      <c r="C220" s="19"/>
      <c r="D220" s="19"/>
      <c r="E220" s="19"/>
      <c r="F220" s="19"/>
      <c r="G220" s="19"/>
      <c r="H220" s="19"/>
      <c r="I220" s="19"/>
      <c r="J220" s="19"/>
      <c r="K220" s="19"/>
      <c r="L220" s="19"/>
      <c r="M220" s="19"/>
      <c r="N220" s="19"/>
      <c r="O220" s="19"/>
      <c r="P220" s="19"/>
      <c r="Q220" s="19"/>
      <c r="R220" s="17"/>
    </row>
    <row r="221" spans="1:18">
      <c r="A221" s="17"/>
      <c r="C221" s="19"/>
      <c r="D221" s="19"/>
      <c r="E221" s="19"/>
      <c r="F221" s="19"/>
      <c r="G221" s="19"/>
      <c r="H221" s="19"/>
      <c r="I221" s="19"/>
      <c r="J221" s="19"/>
      <c r="K221" s="19"/>
      <c r="L221" s="19"/>
      <c r="M221" s="19"/>
      <c r="N221" s="19"/>
      <c r="O221" s="19"/>
      <c r="P221" s="19"/>
      <c r="Q221" s="19"/>
      <c r="R221" s="17"/>
    </row>
    <row r="222" spans="1:18">
      <c r="A222" s="17"/>
      <c r="C222" s="19"/>
      <c r="D222" s="19"/>
      <c r="E222" s="19"/>
      <c r="F222" s="19"/>
      <c r="G222" s="19"/>
      <c r="H222" s="19"/>
      <c r="I222" s="19"/>
      <c r="J222" s="19"/>
      <c r="K222" s="19"/>
      <c r="L222" s="19"/>
      <c r="M222" s="19"/>
      <c r="N222" s="19"/>
      <c r="O222" s="19"/>
      <c r="P222" s="19"/>
      <c r="Q222" s="19"/>
      <c r="R222" s="17"/>
    </row>
    <row r="223" spans="1:18">
      <c r="A223" s="17"/>
      <c r="C223" s="19"/>
      <c r="D223" s="19"/>
      <c r="E223" s="19"/>
      <c r="F223" s="19"/>
      <c r="G223" s="19"/>
      <c r="H223" s="19"/>
      <c r="I223" s="19"/>
      <c r="J223" s="19"/>
      <c r="K223" s="19"/>
      <c r="L223" s="19"/>
      <c r="M223" s="19"/>
      <c r="N223" s="19"/>
      <c r="O223" s="19"/>
      <c r="P223" s="19"/>
      <c r="Q223" s="19"/>
      <c r="R223" s="17"/>
    </row>
    <row r="224" spans="1:18">
      <c r="A224" s="17"/>
      <c r="C224" s="19"/>
      <c r="D224" s="19"/>
      <c r="E224" s="19"/>
      <c r="F224" s="19"/>
      <c r="G224" s="19"/>
      <c r="H224" s="19"/>
      <c r="I224" s="19"/>
      <c r="J224" s="19"/>
      <c r="K224" s="19"/>
      <c r="L224" s="19"/>
      <c r="M224" s="19"/>
      <c r="N224" s="19"/>
      <c r="O224" s="19"/>
      <c r="P224" s="19"/>
      <c r="Q224" s="19"/>
      <c r="R224" s="17"/>
    </row>
    <row r="225" spans="1:18">
      <c r="A225" s="17"/>
      <c r="C225" s="19"/>
      <c r="D225" s="19"/>
      <c r="E225" s="19"/>
      <c r="F225" s="19"/>
      <c r="G225" s="19"/>
      <c r="H225" s="19"/>
      <c r="I225" s="19"/>
      <c r="J225" s="19"/>
      <c r="K225" s="19"/>
      <c r="L225" s="19"/>
      <c r="M225" s="19"/>
      <c r="N225" s="19"/>
      <c r="O225" s="19"/>
      <c r="P225" s="19"/>
      <c r="Q225" s="19"/>
      <c r="R225" s="17"/>
    </row>
    <row r="226" spans="1:18">
      <c r="A226" s="17"/>
      <c r="C226" s="19"/>
      <c r="D226" s="19"/>
      <c r="E226" s="19"/>
      <c r="F226" s="19"/>
      <c r="G226" s="19"/>
      <c r="H226" s="19"/>
      <c r="I226" s="19"/>
      <c r="J226" s="19"/>
      <c r="K226" s="19"/>
      <c r="L226" s="19"/>
      <c r="M226" s="19"/>
      <c r="N226" s="19"/>
      <c r="O226" s="19"/>
      <c r="P226" s="19"/>
      <c r="Q226" s="19"/>
      <c r="R226" s="17"/>
    </row>
    <row r="227" spans="1:18">
      <c r="A227" s="17"/>
      <c r="C227" s="19"/>
      <c r="D227" s="19"/>
      <c r="E227" s="19"/>
      <c r="F227" s="19"/>
      <c r="G227" s="19"/>
      <c r="H227" s="19"/>
      <c r="I227" s="19"/>
      <c r="J227" s="19"/>
      <c r="K227" s="19"/>
      <c r="L227" s="19"/>
      <c r="M227" s="19"/>
      <c r="N227" s="19"/>
      <c r="O227" s="19"/>
      <c r="P227" s="19"/>
      <c r="Q227" s="19"/>
      <c r="R227" s="17"/>
    </row>
    <row r="228" spans="1:18">
      <c r="A228" s="17"/>
      <c r="C228" s="19"/>
      <c r="D228" s="19"/>
      <c r="E228" s="19"/>
      <c r="F228" s="19"/>
      <c r="G228" s="19"/>
      <c r="H228" s="19"/>
      <c r="I228" s="19"/>
      <c r="J228" s="19"/>
      <c r="K228" s="19"/>
      <c r="L228" s="19"/>
      <c r="M228" s="19"/>
      <c r="N228" s="19"/>
      <c r="O228" s="19"/>
      <c r="P228" s="19"/>
      <c r="Q228" s="19"/>
      <c r="R228" s="17"/>
    </row>
    <row r="229" spans="1:18">
      <c r="A229" s="17"/>
      <c r="C229" s="19"/>
      <c r="D229" s="19"/>
      <c r="E229" s="19"/>
      <c r="F229" s="19"/>
      <c r="G229" s="19"/>
      <c r="H229" s="19"/>
      <c r="I229" s="19"/>
      <c r="J229" s="19"/>
      <c r="K229" s="19"/>
      <c r="L229" s="19"/>
      <c r="M229" s="19"/>
      <c r="N229" s="19"/>
      <c r="O229" s="19"/>
      <c r="P229" s="19"/>
      <c r="Q229" s="19"/>
      <c r="R229" s="17"/>
    </row>
    <row r="230" spans="1:18">
      <c r="A230" s="17"/>
      <c r="C230" s="19"/>
      <c r="D230" s="19"/>
      <c r="E230" s="19"/>
      <c r="F230" s="19"/>
      <c r="G230" s="19"/>
      <c r="H230" s="19"/>
      <c r="I230" s="19"/>
      <c r="J230" s="19"/>
      <c r="K230" s="19"/>
      <c r="L230" s="19"/>
      <c r="M230" s="19"/>
      <c r="N230" s="19"/>
      <c r="O230" s="19"/>
      <c r="P230" s="19"/>
      <c r="Q230" s="19"/>
      <c r="R230" s="17"/>
    </row>
    <row r="231" spans="1:18">
      <c r="A231" s="17"/>
      <c r="C231" s="19"/>
      <c r="D231" s="19"/>
      <c r="E231" s="19"/>
      <c r="F231" s="19"/>
      <c r="G231" s="19"/>
      <c r="H231" s="19"/>
      <c r="I231" s="19"/>
      <c r="J231" s="19"/>
      <c r="K231" s="19"/>
      <c r="L231" s="19"/>
      <c r="M231" s="19"/>
      <c r="N231" s="19"/>
      <c r="O231" s="19"/>
      <c r="P231" s="19"/>
      <c r="Q231" s="19"/>
      <c r="R231" s="17"/>
    </row>
    <row r="232" spans="1:18">
      <c r="A232" s="17"/>
      <c r="C232" s="19"/>
      <c r="D232" s="19"/>
      <c r="E232" s="19"/>
      <c r="F232" s="19"/>
      <c r="G232" s="19"/>
      <c r="H232" s="19"/>
      <c r="I232" s="19"/>
      <c r="J232" s="19"/>
      <c r="K232" s="19"/>
      <c r="L232" s="19"/>
      <c r="M232" s="19"/>
      <c r="N232" s="19"/>
      <c r="O232" s="19"/>
      <c r="P232" s="19"/>
      <c r="Q232" s="19"/>
      <c r="R232" s="17"/>
    </row>
    <row r="233" spans="1:18">
      <c r="A233" s="17"/>
      <c r="C233" s="19"/>
      <c r="D233" s="19"/>
      <c r="E233" s="19"/>
      <c r="F233" s="19"/>
      <c r="G233" s="19"/>
      <c r="H233" s="19"/>
      <c r="I233" s="19"/>
      <c r="J233" s="19"/>
      <c r="K233" s="19"/>
      <c r="L233" s="19"/>
      <c r="M233" s="19"/>
      <c r="N233" s="19"/>
      <c r="O233" s="19"/>
      <c r="P233" s="19"/>
      <c r="Q233" s="19"/>
      <c r="R233" s="17"/>
    </row>
    <row r="234" spans="1:18">
      <c r="A234" s="17"/>
      <c r="C234" s="19"/>
      <c r="D234" s="19"/>
      <c r="E234" s="19"/>
      <c r="F234" s="19"/>
      <c r="G234" s="19"/>
      <c r="H234" s="19"/>
      <c r="I234" s="19"/>
      <c r="J234" s="19"/>
      <c r="K234" s="19"/>
      <c r="L234" s="19"/>
      <c r="M234" s="19"/>
      <c r="N234" s="19"/>
      <c r="O234" s="19"/>
      <c r="P234" s="19"/>
      <c r="Q234" s="19"/>
      <c r="R234" s="17"/>
    </row>
    <row r="235" spans="1:18">
      <c r="A235" s="17"/>
      <c r="C235" s="19"/>
      <c r="D235" s="19"/>
      <c r="E235" s="19"/>
      <c r="F235" s="19"/>
      <c r="G235" s="19"/>
      <c r="H235" s="19"/>
      <c r="I235" s="19"/>
      <c r="J235" s="19"/>
      <c r="K235" s="19"/>
      <c r="L235" s="19"/>
      <c r="M235" s="19"/>
      <c r="N235" s="19"/>
      <c r="O235" s="19"/>
      <c r="P235" s="19"/>
      <c r="Q235" s="19"/>
      <c r="R235" s="17"/>
    </row>
    <row r="236" spans="1:18">
      <c r="A236" s="17"/>
      <c r="C236" s="19"/>
      <c r="D236" s="19"/>
      <c r="E236" s="19"/>
      <c r="F236" s="19"/>
      <c r="G236" s="19"/>
      <c r="H236" s="19"/>
      <c r="I236" s="19"/>
      <c r="J236" s="19"/>
      <c r="K236" s="19"/>
      <c r="L236" s="19"/>
      <c r="M236" s="19"/>
      <c r="N236" s="19"/>
      <c r="O236" s="19"/>
      <c r="P236" s="19"/>
      <c r="Q236" s="19"/>
      <c r="R236" s="17"/>
    </row>
    <row r="237" spans="1:18">
      <c r="A237" s="17"/>
      <c r="C237" s="19"/>
      <c r="D237" s="19"/>
      <c r="E237" s="19"/>
      <c r="F237" s="19"/>
      <c r="G237" s="19"/>
      <c r="H237" s="19"/>
      <c r="I237" s="19"/>
      <c r="J237" s="19"/>
      <c r="K237" s="19"/>
      <c r="L237" s="19"/>
      <c r="M237" s="19"/>
      <c r="N237" s="19"/>
      <c r="O237" s="19"/>
      <c r="P237" s="19"/>
      <c r="Q237" s="19"/>
      <c r="R237" s="17"/>
    </row>
    <row r="238" spans="1:18">
      <c r="A238" s="17"/>
      <c r="C238" s="19"/>
      <c r="D238" s="19"/>
      <c r="E238" s="19"/>
      <c r="F238" s="19"/>
      <c r="G238" s="19"/>
      <c r="H238" s="19"/>
      <c r="I238" s="19"/>
      <c r="J238" s="19"/>
      <c r="K238" s="19"/>
      <c r="L238" s="19"/>
      <c r="M238" s="19"/>
      <c r="N238" s="19"/>
      <c r="O238" s="19"/>
      <c r="P238" s="19"/>
      <c r="Q238" s="19"/>
      <c r="R238" s="17"/>
    </row>
    <row r="239" spans="1:18">
      <c r="A239" s="17"/>
      <c r="C239" s="19"/>
      <c r="D239" s="19"/>
      <c r="E239" s="19"/>
      <c r="F239" s="19"/>
      <c r="G239" s="19"/>
      <c r="H239" s="19"/>
      <c r="I239" s="19"/>
      <c r="J239" s="19"/>
      <c r="K239" s="19"/>
      <c r="L239" s="19"/>
      <c r="M239" s="19"/>
      <c r="N239" s="19"/>
      <c r="O239" s="19"/>
      <c r="P239" s="19"/>
      <c r="Q239" s="19"/>
      <c r="R239" s="17"/>
    </row>
    <row r="240" spans="1:18">
      <c r="A240" s="17"/>
      <c r="C240" s="19"/>
      <c r="D240" s="19"/>
      <c r="E240" s="19"/>
      <c r="F240" s="19"/>
      <c r="G240" s="19"/>
      <c r="H240" s="19"/>
      <c r="I240" s="19"/>
      <c r="J240" s="19"/>
      <c r="K240" s="19"/>
      <c r="L240" s="19"/>
      <c r="M240" s="19"/>
      <c r="N240" s="19"/>
      <c r="O240" s="19"/>
      <c r="P240" s="19"/>
      <c r="Q240" s="19"/>
      <c r="R240" s="17"/>
    </row>
    <row r="241" spans="1:18">
      <c r="A241" s="17"/>
      <c r="C241" s="19"/>
      <c r="D241" s="19"/>
      <c r="E241" s="19"/>
      <c r="F241" s="19"/>
      <c r="G241" s="19"/>
      <c r="H241" s="19"/>
      <c r="I241" s="19"/>
      <c r="J241" s="19"/>
      <c r="K241" s="19"/>
      <c r="L241" s="19"/>
      <c r="M241" s="19"/>
      <c r="N241" s="19"/>
      <c r="O241" s="19"/>
      <c r="P241" s="19"/>
      <c r="Q241" s="19"/>
      <c r="R241" s="17"/>
    </row>
    <row r="242" spans="1:18">
      <c r="A242" s="17"/>
      <c r="C242" s="19"/>
      <c r="D242" s="19"/>
      <c r="E242" s="19"/>
      <c r="F242" s="19"/>
      <c r="G242" s="19"/>
      <c r="H242" s="19"/>
      <c r="I242" s="19"/>
      <c r="J242" s="19"/>
      <c r="K242" s="19"/>
      <c r="L242" s="19"/>
      <c r="M242" s="19"/>
      <c r="N242" s="19"/>
      <c r="O242" s="19"/>
      <c r="P242" s="19"/>
      <c r="Q242" s="19"/>
      <c r="R242" s="17"/>
    </row>
    <row r="243" spans="1:18">
      <c r="A243" s="17"/>
      <c r="C243" s="19"/>
      <c r="D243" s="19"/>
      <c r="E243" s="19"/>
      <c r="F243" s="19"/>
      <c r="G243" s="19"/>
      <c r="H243" s="19"/>
      <c r="I243" s="19"/>
      <c r="J243" s="19"/>
      <c r="K243" s="19"/>
      <c r="L243" s="19"/>
      <c r="M243" s="19"/>
      <c r="N243" s="19"/>
      <c r="O243" s="19"/>
      <c r="P243" s="19"/>
      <c r="Q243" s="19"/>
      <c r="R243" s="17"/>
    </row>
    <row r="244" spans="1:18">
      <c r="A244" s="17"/>
      <c r="C244" s="19"/>
      <c r="D244" s="19"/>
      <c r="E244" s="19"/>
      <c r="F244" s="19"/>
      <c r="G244" s="19"/>
      <c r="H244" s="19"/>
      <c r="I244" s="19"/>
      <c r="J244" s="19"/>
      <c r="K244" s="19"/>
      <c r="L244" s="19"/>
      <c r="M244" s="19"/>
      <c r="N244" s="19"/>
      <c r="O244" s="19"/>
      <c r="P244" s="19"/>
      <c r="Q244" s="19"/>
      <c r="R244" s="17"/>
    </row>
    <row r="245" spans="1:18">
      <c r="A245" s="17"/>
      <c r="C245" s="19"/>
      <c r="D245" s="19"/>
      <c r="E245" s="19"/>
      <c r="F245" s="19"/>
      <c r="G245" s="19"/>
      <c r="H245" s="19"/>
      <c r="I245" s="19"/>
      <c r="J245" s="19"/>
      <c r="K245" s="19"/>
      <c r="L245" s="19"/>
      <c r="M245" s="19"/>
      <c r="N245" s="19"/>
      <c r="O245" s="19"/>
      <c r="P245" s="19"/>
      <c r="Q245" s="19"/>
      <c r="R245" s="17"/>
    </row>
    <row r="246" spans="1:18">
      <c r="A246" s="17"/>
      <c r="C246" s="19"/>
      <c r="D246" s="19"/>
      <c r="E246" s="19"/>
      <c r="F246" s="19"/>
      <c r="G246" s="19"/>
      <c r="H246" s="19"/>
      <c r="I246" s="19"/>
      <c r="J246" s="19"/>
      <c r="K246" s="19"/>
      <c r="L246" s="19"/>
      <c r="M246" s="19"/>
      <c r="N246" s="19"/>
      <c r="O246" s="19"/>
      <c r="P246" s="19"/>
      <c r="Q246" s="19"/>
      <c r="R246" s="17"/>
    </row>
    <row r="247" spans="1:18">
      <c r="A247" s="17"/>
      <c r="C247" s="19"/>
      <c r="D247" s="19"/>
      <c r="E247" s="19"/>
      <c r="F247" s="19"/>
      <c r="G247" s="19"/>
      <c r="H247" s="19"/>
      <c r="I247" s="19"/>
      <c r="J247" s="19"/>
      <c r="K247" s="19"/>
      <c r="L247" s="19"/>
      <c r="M247" s="19"/>
      <c r="N247" s="19"/>
      <c r="O247" s="19"/>
      <c r="P247" s="19"/>
      <c r="Q247" s="19"/>
      <c r="R247" s="17"/>
    </row>
    <row r="248" spans="1:18">
      <c r="A248" s="17"/>
      <c r="C248" s="19"/>
      <c r="D248" s="19"/>
      <c r="E248" s="19"/>
      <c r="F248" s="19"/>
      <c r="G248" s="19"/>
      <c r="H248" s="19"/>
      <c r="I248" s="19"/>
      <c r="J248" s="19"/>
      <c r="K248" s="19"/>
      <c r="L248" s="19"/>
      <c r="M248" s="19"/>
      <c r="N248" s="19"/>
      <c r="O248" s="19"/>
      <c r="P248" s="19"/>
      <c r="Q248" s="19"/>
      <c r="R248" s="17"/>
    </row>
    <row r="249" spans="1:18">
      <c r="A249" s="17"/>
      <c r="C249" s="19"/>
      <c r="D249" s="19"/>
      <c r="E249" s="19"/>
      <c r="F249" s="19"/>
      <c r="G249" s="19"/>
      <c r="H249" s="19"/>
      <c r="I249" s="19"/>
      <c r="J249" s="19"/>
      <c r="K249" s="19"/>
      <c r="L249" s="19"/>
      <c r="M249" s="19"/>
      <c r="N249" s="19"/>
      <c r="O249" s="19"/>
      <c r="P249" s="19"/>
      <c r="Q249" s="19"/>
      <c r="R249" s="17"/>
    </row>
    <row r="250" spans="1:18">
      <c r="A250" s="17"/>
      <c r="C250" s="19"/>
      <c r="D250" s="19"/>
      <c r="E250" s="19"/>
      <c r="F250" s="19"/>
      <c r="G250" s="19"/>
      <c r="H250" s="19"/>
      <c r="I250" s="19"/>
      <c r="J250" s="19"/>
      <c r="K250" s="19"/>
      <c r="L250" s="19"/>
      <c r="M250" s="19"/>
      <c r="N250" s="19"/>
      <c r="O250" s="19"/>
      <c r="P250" s="19"/>
      <c r="Q250" s="19"/>
      <c r="R250" s="17"/>
    </row>
    <row r="251" spans="1:18">
      <c r="A251" s="17"/>
      <c r="C251" s="19"/>
      <c r="D251" s="19"/>
      <c r="E251" s="19"/>
      <c r="F251" s="19"/>
      <c r="G251" s="19"/>
      <c r="H251" s="19"/>
      <c r="I251" s="19"/>
      <c r="J251" s="19"/>
      <c r="K251" s="19"/>
      <c r="L251" s="19"/>
      <c r="M251" s="19"/>
      <c r="N251" s="19"/>
      <c r="O251" s="19"/>
      <c r="P251" s="19"/>
      <c r="Q251" s="19"/>
      <c r="R251" s="17"/>
    </row>
    <row r="252" spans="1:18">
      <c r="A252" s="17"/>
      <c r="C252" s="19"/>
      <c r="D252" s="19"/>
      <c r="E252" s="19"/>
      <c r="F252" s="19"/>
      <c r="G252" s="19"/>
      <c r="H252" s="19"/>
      <c r="I252" s="19"/>
      <c r="J252" s="19"/>
      <c r="K252" s="19"/>
      <c r="L252" s="19"/>
      <c r="M252" s="19"/>
      <c r="N252" s="19"/>
      <c r="O252" s="19"/>
      <c r="P252" s="19"/>
      <c r="Q252" s="19"/>
      <c r="R252" s="17"/>
    </row>
    <row r="253" spans="1:18">
      <c r="A253" s="17"/>
      <c r="C253" s="19"/>
      <c r="D253" s="19"/>
      <c r="E253" s="19"/>
      <c r="F253" s="19"/>
      <c r="G253" s="19"/>
      <c r="H253" s="19"/>
      <c r="I253" s="19"/>
      <c r="J253" s="19"/>
      <c r="K253" s="19"/>
      <c r="L253" s="19"/>
      <c r="M253" s="19"/>
      <c r="N253" s="19"/>
      <c r="O253" s="19"/>
      <c r="P253" s="19"/>
      <c r="Q253" s="19"/>
      <c r="R253" s="17"/>
    </row>
    <row r="254" spans="1:18">
      <c r="A254" s="17"/>
      <c r="C254" s="19"/>
      <c r="D254" s="19"/>
      <c r="E254" s="19"/>
      <c r="F254" s="19"/>
      <c r="G254" s="19"/>
      <c r="H254" s="19"/>
      <c r="I254" s="19"/>
      <c r="J254" s="19"/>
      <c r="K254" s="19"/>
      <c r="L254" s="19"/>
      <c r="M254" s="19"/>
      <c r="N254" s="19"/>
      <c r="O254" s="19"/>
      <c r="P254" s="19"/>
      <c r="Q254" s="19"/>
      <c r="R254" s="17"/>
    </row>
    <row r="255" spans="1:18">
      <c r="A255" s="17"/>
      <c r="C255" s="19"/>
      <c r="D255" s="19"/>
      <c r="E255" s="19"/>
      <c r="F255" s="19"/>
      <c r="G255" s="19"/>
      <c r="H255" s="19"/>
      <c r="I255" s="19"/>
      <c r="J255" s="19"/>
      <c r="K255" s="19"/>
      <c r="L255" s="19"/>
      <c r="M255" s="19"/>
      <c r="N255" s="19"/>
      <c r="O255" s="19"/>
      <c r="P255" s="19"/>
      <c r="Q255" s="19"/>
      <c r="R255" s="17"/>
    </row>
    <row r="256" spans="1:18">
      <c r="A256" s="17"/>
      <c r="C256" s="19"/>
      <c r="D256" s="19"/>
      <c r="E256" s="19"/>
      <c r="F256" s="19"/>
      <c r="G256" s="19"/>
      <c r="H256" s="19"/>
      <c r="I256" s="19"/>
      <c r="J256" s="19"/>
      <c r="K256" s="19"/>
      <c r="L256" s="19"/>
      <c r="M256" s="19"/>
      <c r="N256" s="19"/>
      <c r="O256" s="19"/>
      <c r="P256" s="19"/>
      <c r="Q256" s="19"/>
      <c r="R256" s="17"/>
    </row>
    <row r="257" spans="1:18">
      <c r="A257" s="17"/>
      <c r="C257" s="19"/>
      <c r="D257" s="19"/>
      <c r="E257" s="19"/>
      <c r="F257" s="19"/>
      <c r="G257" s="19"/>
      <c r="H257" s="19"/>
      <c r="I257" s="19"/>
      <c r="J257" s="19"/>
      <c r="K257" s="19"/>
      <c r="L257" s="19"/>
      <c r="M257" s="19"/>
      <c r="N257" s="19"/>
      <c r="O257" s="19"/>
      <c r="P257" s="19"/>
      <c r="Q257" s="19"/>
      <c r="R257" s="17"/>
    </row>
    <row r="258" spans="1:18">
      <c r="A258" s="17"/>
      <c r="C258" s="19"/>
      <c r="D258" s="19"/>
      <c r="E258" s="19"/>
      <c r="F258" s="19"/>
      <c r="G258" s="19"/>
      <c r="H258" s="19"/>
      <c r="I258" s="19"/>
      <c r="J258" s="19"/>
      <c r="K258" s="19"/>
      <c r="L258" s="19"/>
      <c r="M258" s="19"/>
      <c r="N258" s="19"/>
      <c r="O258" s="19"/>
      <c r="P258" s="19"/>
      <c r="Q258" s="19"/>
      <c r="R258" s="17"/>
    </row>
    <row r="259" spans="1:18">
      <c r="A259" s="17"/>
      <c r="C259" s="19"/>
      <c r="D259" s="19"/>
      <c r="E259" s="19"/>
      <c r="F259" s="19"/>
      <c r="G259" s="19"/>
      <c r="H259" s="19"/>
      <c r="I259" s="19"/>
      <c r="J259" s="19"/>
      <c r="K259" s="19"/>
      <c r="L259" s="19"/>
      <c r="M259" s="19"/>
      <c r="N259" s="19"/>
      <c r="O259" s="19"/>
      <c r="P259" s="19"/>
      <c r="Q259" s="19"/>
      <c r="R259" s="17"/>
    </row>
    <row r="260" spans="1:18">
      <c r="A260" s="17"/>
      <c r="C260" s="19"/>
      <c r="D260" s="19"/>
      <c r="E260" s="19"/>
      <c r="F260" s="19"/>
      <c r="G260" s="19"/>
      <c r="H260" s="19"/>
      <c r="I260" s="19"/>
      <c r="J260" s="19"/>
      <c r="K260" s="19"/>
      <c r="L260" s="19"/>
      <c r="M260" s="19"/>
      <c r="N260" s="19"/>
      <c r="O260" s="19"/>
      <c r="P260" s="19"/>
      <c r="Q260" s="19"/>
      <c r="R260" s="17"/>
    </row>
    <row r="261" spans="1:18">
      <c r="A261" s="17"/>
      <c r="C261" s="19"/>
      <c r="D261" s="19"/>
      <c r="E261" s="19"/>
      <c r="F261" s="19"/>
      <c r="G261" s="19"/>
      <c r="H261" s="19"/>
      <c r="I261" s="19"/>
      <c r="J261" s="19"/>
      <c r="K261" s="19"/>
      <c r="L261" s="19"/>
      <c r="M261" s="19"/>
      <c r="N261" s="19"/>
      <c r="O261" s="19"/>
      <c r="P261" s="19"/>
      <c r="Q261" s="19"/>
      <c r="R261" s="17"/>
    </row>
    <row r="262" spans="1:18">
      <c r="A262" s="17"/>
      <c r="C262" s="19"/>
      <c r="D262" s="19"/>
      <c r="E262" s="19"/>
      <c r="F262" s="19"/>
      <c r="G262" s="19"/>
      <c r="H262" s="19"/>
      <c r="I262" s="19"/>
      <c r="J262" s="19"/>
      <c r="K262" s="19"/>
      <c r="L262" s="19"/>
      <c r="M262" s="19"/>
      <c r="N262" s="19"/>
      <c r="O262" s="19"/>
      <c r="P262" s="19"/>
      <c r="Q262" s="19"/>
      <c r="R262" s="17"/>
    </row>
    <row r="263" spans="1:18">
      <c r="A263" s="17"/>
      <c r="C263" s="19"/>
      <c r="D263" s="19"/>
      <c r="E263" s="19"/>
      <c r="F263" s="19"/>
      <c r="G263" s="19"/>
      <c r="H263" s="19"/>
      <c r="I263" s="19"/>
      <c r="J263" s="19"/>
      <c r="K263" s="19"/>
      <c r="L263" s="19"/>
      <c r="M263" s="19"/>
      <c r="N263" s="19"/>
      <c r="O263" s="19"/>
      <c r="P263" s="19"/>
      <c r="Q263" s="19"/>
      <c r="R263" s="17"/>
    </row>
    <row r="264" spans="1:18">
      <c r="A264" s="17"/>
      <c r="C264" s="19"/>
      <c r="D264" s="19"/>
      <c r="E264" s="19"/>
      <c r="F264" s="19"/>
      <c r="G264" s="19"/>
      <c r="H264" s="19"/>
      <c r="I264" s="19"/>
      <c r="J264" s="19"/>
      <c r="K264" s="19"/>
      <c r="L264" s="19"/>
      <c r="M264" s="19"/>
      <c r="N264" s="19"/>
      <c r="O264" s="19"/>
      <c r="P264" s="19"/>
      <c r="Q264" s="19"/>
      <c r="R264" s="17"/>
    </row>
    <row r="265" spans="1:18">
      <c r="A265" s="17"/>
      <c r="C265" s="19"/>
      <c r="D265" s="19"/>
      <c r="E265" s="19"/>
      <c r="F265" s="19"/>
      <c r="G265" s="19"/>
      <c r="H265" s="19"/>
      <c r="I265" s="19"/>
      <c r="J265" s="19"/>
      <c r="K265" s="19"/>
      <c r="L265" s="19"/>
      <c r="M265" s="19"/>
      <c r="N265" s="19"/>
      <c r="O265" s="19"/>
      <c r="P265" s="19"/>
      <c r="Q265" s="19"/>
      <c r="R265" s="17"/>
    </row>
    <row r="266" spans="1:18">
      <c r="A266" s="17"/>
      <c r="C266" s="19"/>
      <c r="D266" s="19"/>
      <c r="E266" s="19"/>
      <c r="F266" s="19"/>
      <c r="G266" s="19"/>
      <c r="H266" s="19"/>
      <c r="I266" s="19"/>
      <c r="J266" s="19"/>
      <c r="K266" s="19"/>
      <c r="L266" s="19"/>
      <c r="M266" s="19"/>
      <c r="N266" s="19"/>
      <c r="O266" s="19"/>
      <c r="P266" s="19"/>
      <c r="Q266" s="19"/>
      <c r="R266" s="17"/>
    </row>
    <row r="267" spans="1:18">
      <c r="A267" s="17"/>
      <c r="C267" s="19"/>
      <c r="D267" s="19"/>
      <c r="E267" s="19"/>
      <c r="F267" s="19"/>
      <c r="G267" s="19"/>
      <c r="H267" s="19"/>
      <c r="I267" s="19"/>
      <c r="J267" s="19"/>
      <c r="K267" s="19"/>
      <c r="L267" s="19"/>
      <c r="M267" s="19"/>
      <c r="N267" s="19"/>
      <c r="O267" s="19"/>
      <c r="P267" s="19"/>
      <c r="Q267" s="19"/>
      <c r="R267" s="17"/>
    </row>
    <row r="268" spans="1:18">
      <c r="A268" s="17"/>
      <c r="C268" s="19"/>
      <c r="D268" s="19"/>
      <c r="E268" s="19"/>
      <c r="F268" s="19"/>
      <c r="G268" s="19"/>
      <c r="H268" s="19"/>
      <c r="I268" s="19"/>
      <c r="J268" s="19"/>
      <c r="K268" s="19"/>
      <c r="L268" s="19"/>
      <c r="M268" s="19"/>
      <c r="N268" s="19"/>
      <c r="O268" s="19"/>
      <c r="P268" s="19"/>
      <c r="Q268" s="19"/>
      <c r="R268" s="17"/>
    </row>
    <row r="269" spans="1:18">
      <c r="A269" s="17"/>
      <c r="C269" s="19"/>
      <c r="D269" s="19"/>
      <c r="E269" s="19"/>
      <c r="F269" s="19"/>
      <c r="G269" s="19"/>
      <c r="H269" s="19"/>
      <c r="I269" s="19"/>
      <c r="J269" s="19"/>
      <c r="K269" s="19"/>
      <c r="L269" s="19"/>
      <c r="M269" s="19"/>
      <c r="N269" s="19"/>
      <c r="O269" s="19"/>
      <c r="P269" s="19"/>
      <c r="Q269" s="19"/>
      <c r="R269" s="17"/>
    </row>
    <row r="270" spans="1:18">
      <c r="A270" s="17"/>
      <c r="C270" s="19"/>
      <c r="D270" s="19"/>
      <c r="E270" s="19"/>
      <c r="F270" s="19"/>
      <c r="G270" s="19"/>
      <c r="H270" s="19"/>
      <c r="I270" s="19"/>
      <c r="J270" s="19"/>
      <c r="K270" s="19"/>
      <c r="L270" s="19"/>
      <c r="M270" s="19"/>
      <c r="N270" s="19"/>
      <c r="O270" s="19"/>
      <c r="P270" s="19"/>
      <c r="Q270" s="19"/>
      <c r="R270" s="17"/>
    </row>
    <row r="271" spans="1:18">
      <c r="A271" s="17"/>
      <c r="C271" s="19"/>
      <c r="D271" s="19"/>
      <c r="E271" s="19"/>
      <c r="F271" s="19"/>
      <c r="G271" s="19"/>
      <c r="H271" s="19"/>
      <c r="I271" s="19"/>
      <c r="J271" s="19"/>
      <c r="K271" s="19"/>
      <c r="L271" s="19"/>
      <c r="M271" s="19"/>
      <c r="N271" s="19"/>
      <c r="O271" s="19"/>
      <c r="P271" s="19"/>
      <c r="Q271" s="19"/>
      <c r="R271" s="17"/>
    </row>
    <row r="272" spans="1:18">
      <c r="A272" s="17"/>
      <c r="C272" s="19"/>
      <c r="D272" s="19"/>
      <c r="E272" s="19"/>
      <c r="F272" s="19"/>
      <c r="G272" s="19"/>
      <c r="H272" s="19"/>
      <c r="I272" s="19"/>
      <c r="J272" s="19"/>
      <c r="K272" s="19"/>
      <c r="L272" s="19"/>
      <c r="M272" s="19"/>
      <c r="N272" s="19"/>
      <c r="O272" s="19"/>
      <c r="P272" s="19"/>
      <c r="Q272" s="19"/>
      <c r="R272" s="17"/>
    </row>
    <row r="273" spans="1:18">
      <c r="A273" s="17"/>
      <c r="C273" s="19"/>
      <c r="D273" s="19"/>
      <c r="E273" s="19"/>
      <c r="F273" s="19"/>
      <c r="G273" s="19"/>
      <c r="H273" s="19"/>
      <c r="I273" s="19"/>
      <c r="J273" s="19"/>
      <c r="K273" s="19"/>
      <c r="L273" s="19"/>
      <c r="M273" s="19"/>
      <c r="N273" s="19"/>
      <c r="O273" s="19"/>
      <c r="P273" s="19"/>
      <c r="Q273" s="19"/>
      <c r="R273" s="17"/>
    </row>
    <row r="274" spans="1:18">
      <c r="A274" s="17"/>
      <c r="C274" s="19"/>
      <c r="D274" s="19"/>
      <c r="E274" s="19"/>
      <c r="F274" s="19"/>
      <c r="G274" s="19"/>
      <c r="H274" s="19"/>
      <c r="I274" s="19"/>
      <c r="J274" s="19"/>
      <c r="K274" s="19"/>
      <c r="L274" s="19"/>
      <c r="M274" s="19"/>
      <c r="N274" s="19"/>
      <c r="O274" s="19"/>
      <c r="P274" s="19"/>
      <c r="Q274" s="19"/>
      <c r="R274" s="17"/>
    </row>
    <row r="275" spans="1:18">
      <c r="A275" s="17"/>
      <c r="C275" s="19"/>
      <c r="D275" s="19"/>
      <c r="E275" s="19"/>
      <c r="F275" s="19"/>
      <c r="G275" s="19"/>
      <c r="H275" s="19"/>
      <c r="I275" s="19"/>
      <c r="J275" s="19"/>
      <c r="K275" s="19"/>
      <c r="L275" s="19"/>
      <c r="M275" s="19"/>
      <c r="N275" s="19"/>
      <c r="O275" s="19"/>
      <c r="P275" s="19"/>
      <c r="Q275" s="19"/>
      <c r="R275" s="17"/>
    </row>
    <row r="276" spans="1:18">
      <c r="A276" s="17"/>
      <c r="C276" s="19"/>
      <c r="D276" s="19"/>
      <c r="E276" s="19"/>
      <c r="F276" s="19"/>
      <c r="G276" s="19"/>
      <c r="H276" s="19"/>
      <c r="I276" s="19"/>
      <c r="J276" s="19"/>
      <c r="K276" s="19"/>
      <c r="L276" s="19"/>
      <c r="M276" s="19"/>
      <c r="N276" s="19"/>
      <c r="O276" s="19"/>
      <c r="P276" s="19"/>
      <c r="Q276" s="19"/>
      <c r="R276" s="17"/>
    </row>
    <row r="277" spans="1:18">
      <c r="A277" s="17"/>
      <c r="C277" s="19"/>
      <c r="D277" s="19"/>
      <c r="E277" s="19"/>
      <c r="F277" s="19"/>
      <c r="G277" s="19"/>
      <c r="H277" s="19"/>
      <c r="I277" s="19"/>
      <c r="J277" s="19"/>
      <c r="K277" s="19"/>
      <c r="L277" s="19"/>
      <c r="M277" s="19"/>
      <c r="N277" s="19"/>
      <c r="O277" s="19"/>
      <c r="P277" s="19"/>
      <c r="Q277" s="19"/>
      <c r="R277" s="17"/>
    </row>
    <row r="278" spans="1:18">
      <c r="A278" s="17"/>
      <c r="C278" s="19"/>
      <c r="D278" s="19"/>
      <c r="E278" s="19"/>
      <c r="F278" s="19"/>
      <c r="G278" s="19"/>
      <c r="H278" s="19"/>
      <c r="I278" s="19"/>
      <c r="J278" s="19"/>
      <c r="K278" s="19"/>
      <c r="L278" s="19"/>
      <c r="M278" s="19"/>
      <c r="N278" s="19"/>
      <c r="O278" s="19"/>
      <c r="P278" s="19"/>
      <c r="Q278" s="19"/>
      <c r="R278" s="17"/>
    </row>
    <row r="279" spans="1:18">
      <c r="A279" s="17"/>
      <c r="C279" s="19"/>
      <c r="D279" s="19"/>
      <c r="E279" s="19"/>
      <c r="F279" s="19"/>
      <c r="G279" s="19"/>
      <c r="H279" s="19"/>
      <c r="I279" s="19"/>
      <c r="J279" s="19"/>
      <c r="K279" s="19"/>
      <c r="L279" s="19"/>
      <c r="M279" s="19"/>
      <c r="N279" s="19"/>
      <c r="O279" s="19"/>
      <c r="P279" s="19"/>
      <c r="Q279" s="19"/>
      <c r="R279" s="17"/>
    </row>
    <row r="280" spans="1:18">
      <c r="A280" s="17"/>
      <c r="C280" s="19"/>
      <c r="D280" s="19"/>
      <c r="E280" s="19"/>
      <c r="F280" s="19"/>
      <c r="G280" s="19"/>
      <c r="H280" s="19"/>
      <c r="I280" s="19"/>
      <c r="J280" s="19"/>
      <c r="K280" s="19"/>
      <c r="L280" s="19"/>
      <c r="M280" s="19"/>
      <c r="N280" s="19"/>
      <c r="O280" s="19"/>
      <c r="P280" s="19"/>
      <c r="Q280" s="19"/>
      <c r="R280" s="17"/>
    </row>
    <row r="281" spans="1:18">
      <c r="A281" s="17"/>
      <c r="C281" s="19"/>
      <c r="D281" s="19"/>
      <c r="E281" s="19"/>
      <c r="F281" s="19"/>
      <c r="G281" s="19"/>
      <c r="H281" s="19"/>
      <c r="I281" s="19"/>
      <c r="J281" s="19"/>
      <c r="K281" s="19"/>
      <c r="L281" s="19"/>
      <c r="M281" s="19"/>
      <c r="N281" s="19"/>
      <c r="O281" s="19"/>
      <c r="P281" s="19"/>
      <c r="Q281" s="19"/>
      <c r="R281" s="17"/>
    </row>
    <row r="282" spans="1:18">
      <c r="A282" s="17"/>
      <c r="C282" s="19"/>
      <c r="D282" s="19"/>
      <c r="E282" s="19"/>
      <c r="F282" s="19"/>
      <c r="G282" s="19"/>
      <c r="H282" s="19"/>
      <c r="I282" s="19"/>
      <c r="J282" s="19"/>
      <c r="K282" s="19"/>
      <c r="L282" s="19"/>
      <c r="M282" s="19"/>
      <c r="N282" s="19"/>
      <c r="O282" s="19"/>
      <c r="P282" s="19"/>
      <c r="Q282" s="19"/>
      <c r="R282" s="17"/>
    </row>
    <row r="283" spans="1:18">
      <c r="A283" s="17"/>
      <c r="C283" s="19"/>
      <c r="D283" s="19"/>
      <c r="E283" s="19"/>
      <c r="F283" s="19"/>
      <c r="G283" s="19"/>
      <c r="H283" s="19"/>
      <c r="I283" s="19"/>
      <c r="J283" s="19"/>
      <c r="K283" s="19"/>
      <c r="L283" s="19"/>
      <c r="M283" s="19"/>
      <c r="N283" s="19"/>
      <c r="O283" s="19"/>
      <c r="P283" s="19"/>
      <c r="Q283" s="19"/>
      <c r="R283" s="17"/>
    </row>
    <row r="284" spans="1:18">
      <c r="A284" s="17"/>
      <c r="C284" s="19"/>
      <c r="D284" s="19"/>
      <c r="E284" s="19"/>
      <c r="F284" s="19"/>
      <c r="G284" s="19"/>
      <c r="H284" s="19"/>
      <c r="I284" s="19"/>
      <c r="J284" s="19"/>
      <c r="K284" s="19"/>
      <c r="L284" s="19"/>
      <c r="M284" s="19"/>
      <c r="N284" s="19"/>
      <c r="O284" s="19"/>
      <c r="P284" s="19"/>
      <c r="Q284" s="19"/>
      <c r="R284" s="17"/>
    </row>
    <row r="285" spans="1:18">
      <c r="A285" s="17"/>
      <c r="C285" s="19"/>
      <c r="D285" s="19"/>
      <c r="E285" s="19"/>
      <c r="F285" s="19"/>
      <c r="G285" s="19"/>
      <c r="H285" s="19"/>
      <c r="I285" s="19"/>
      <c r="J285" s="19"/>
      <c r="K285" s="19"/>
      <c r="L285" s="19"/>
      <c r="M285" s="19"/>
      <c r="N285" s="19"/>
      <c r="O285" s="19"/>
      <c r="P285" s="19"/>
      <c r="Q285" s="19"/>
      <c r="R285" s="17"/>
    </row>
    <row r="286" spans="1:18">
      <c r="A286" s="17"/>
      <c r="C286" s="19"/>
      <c r="D286" s="19"/>
      <c r="E286" s="19"/>
      <c r="F286" s="19"/>
      <c r="G286" s="19"/>
      <c r="H286" s="19"/>
      <c r="I286" s="19"/>
      <c r="J286" s="19"/>
      <c r="K286" s="19"/>
      <c r="L286" s="19"/>
      <c r="M286" s="19"/>
      <c r="N286" s="19"/>
      <c r="O286" s="19"/>
      <c r="P286" s="19"/>
      <c r="Q286" s="19"/>
      <c r="R286" s="17"/>
    </row>
    <row r="287" spans="1:18">
      <c r="A287" s="17"/>
      <c r="C287" s="19"/>
      <c r="D287" s="19"/>
      <c r="E287" s="19"/>
      <c r="F287" s="19"/>
      <c r="G287" s="19"/>
      <c r="H287" s="19"/>
      <c r="I287" s="19"/>
      <c r="J287" s="19"/>
      <c r="K287" s="19"/>
      <c r="L287" s="19"/>
      <c r="M287" s="19"/>
      <c r="N287" s="19"/>
      <c r="O287" s="19"/>
      <c r="P287" s="19"/>
      <c r="Q287" s="19"/>
      <c r="R287" s="17"/>
    </row>
    <row r="288" spans="1:18">
      <c r="A288" s="17"/>
      <c r="C288" s="19"/>
      <c r="D288" s="19"/>
      <c r="E288" s="19"/>
      <c r="F288" s="19"/>
      <c r="G288" s="19"/>
      <c r="H288" s="19"/>
      <c r="I288" s="19"/>
      <c r="J288" s="19"/>
      <c r="K288" s="19"/>
      <c r="L288" s="19"/>
      <c r="M288" s="19"/>
      <c r="N288" s="19"/>
      <c r="O288" s="19"/>
      <c r="P288" s="19"/>
      <c r="Q288" s="19"/>
      <c r="R288" s="17"/>
    </row>
    <row r="289" spans="1:18">
      <c r="A289" s="17"/>
      <c r="C289" s="19"/>
      <c r="D289" s="19"/>
      <c r="E289" s="19"/>
      <c r="F289" s="19"/>
      <c r="G289" s="19"/>
      <c r="H289" s="19"/>
      <c r="I289" s="19"/>
      <c r="J289" s="19"/>
      <c r="K289" s="19"/>
      <c r="L289" s="19"/>
      <c r="M289" s="19"/>
      <c r="N289" s="19"/>
      <c r="O289" s="19"/>
      <c r="P289" s="19"/>
      <c r="Q289" s="19"/>
      <c r="R289" s="17"/>
    </row>
    <row r="290" spans="1:18">
      <c r="A290" s="17"/>
      <c r="C290" s="19"/>
      <c r="D290" s="19"/>
      <c r="E290" s="19"/>
      <c r="F290" s="19"/>
      <c r="G290" s="19"/>
      <c r="H290" s="19"/>
      <c r="I290" s="19"/>
      <c r="J290" s="19"/>
      <c r="K290" s="19"/>
      <c r="L290" s="19"/>
      <c r="M290" s="19"/>
      <c r="N290" s="19"/>
      <c r="O290" s="19"/>
      <c r="P290" s="19"/>
      <c r="Q290" s="19"/>
      <c r="R290" s="17"/>
    </row>
    <row r="291" spans="1:18">
      <c r="A291" s="17"/>
      <c r="C291" s="19"/>
      <c r="D291" s="19"/>
      <c r="E291" s="19"/>
      <c r="F291" s="19"/>
      <c r="G291" s="19"/>
      <c r="H291" s="19"/>
      <c r="I291" s="19"/>
      <c r="J291" s="19"/>
      <c r="K291" s="19"/>
      <c r="L291" s="19"/>
      <c r="M291" s="19"/>
      <c r="N291" s="19"/>
      <c r="O291" s="19"/>
      <c r="P291" s="19"/>
      <c r="Q291" s="19"/>
      <c r="R291" s="17"/>
    </row>
    <row r="292" spans="1:18">
      <c r="A292" s="17"/>
      <c r="C292" s="19"/>
      <c r="D292" s="19"/>
      <c r="E292" s="19"/>
      <c r="F292" s="19"/>
      <c r="G292" s="19"/>
      <c r="H292" s="19"/>
      <c r="I292" s="19"/>
      <c r="J292" s="19"/>
      <c r="K292" s="19"/>
      <c r="L292" s="19"/>
      <c r="M292" s="19"/>
      <c r="N292" s="19"/>
      <c r="O292" s="19"/>
      <c r="P292" s="19"/>
      <c r="Q292" s="19"/>
      <c r="R292" s="17"/>
    </row>
    <row r="293" spans="1:18">
      <c r="A293" s="17"/>
      <c r="C293" s="19"/>
      <c r="D293" s="19"/>
      <c r="E293" s="19"/>
      <c r="F293" s="19"/>
      <c r="G293" s="19"/>
      <c r="H293" s="19"/>
      <c r="I293" s="19"/>
      <c r="J293" s="19"/>
      <c r="K293" s="19"/>
      <c r="L293" s="19"/>
      <c r="M293" s="19"/>
      <c r="N293" s="19"/>
      <c r="O293" s="19"/>
      <c r="P293" s="19"/>
      <c r="Q293" s="19"/>
      <c r="R293" s="17"/>
    </row>
    <row r="294" spans="1:18">
      <c r="A294" s="17"/>
      <c r="C294" s="19"/>
      <c r="D294" s="19"/>
      <c r="E294" s="19"/>
      <c r="F294" s="19"/>
      <c r="G294" s="19"/>
      <c r="H294" s="19"/>
      <c r="I294" s="19"/>
      <c r="J294" s="19"/>
      <c r="K294" s="19"/>
      <c r="L294" s="19"/>
      <c r="M294" s="19"/>
      <c r="N294" s="19"/>
      <c r="O294" s="19"/>
      <c r="P294" s="19"/>
      <c r="Q294" s="19"/>
      <c r="R294" s="17"/>
    </row>
    <row r="295" spans="1:18">
      <c r="A295" s="17"/>
      <c r="C295" s="19"/>
      <c r="D295" s="19"/>
      <c r="E295" s="19"/>
      <c r="F295" s="19"/>
      <c r="G295" s="19"/>
      <c r="H295" s="19"/>
      <c r="I295" s="19"/>
      <c r="J295" s="19"/>
      <c r="K295" s="19"/>
      <c r="L295" s="19"/>
      <c r="M295" s="19"/>
      <c r="N295" s="19"/>
      <c r="O295" s="19"/>
      <c r="P295" s="19"/>
      <c r="Q295" s="19"/>
      <c r="R295" s="17"/>
    </row>
    <row r="296" spans="1:18">
      <c r="A296" s="17"/>
      <c r="C296" s="19"/>
      <c r="D296" s="19"/>
      <c r="E296" s="19"/>
      <c r="F296" s="19"/>
      <c r="G296" s="19"/>
      <c r="H296" s="19"/>
      <c r="I296" s="19"/>
      <c r="J296" s="19"/>
      <c r="K296" s="19"/>
      <c r="L296" s="19"/>
      <c r="M296" s="19"/>
      <c r="N296" s="19"/>
      <c r="O296" s="19"/>
      <c r="P296" s="19"/>
      <c r="Q296" s="19"/>
      <c r="R296" s="17"/>
    </row>
    <row r="297" spans="1:18">
      <c r="A297" s="17"/>
      <c r="C297" s="19"/>
      <c r="D297" s="19"/>
      <c r="E297" s="19"/>
      <c r="F297" s="19"/>
      <c r="G297" s="19"/>
      <c r="H297" s="19"/>
      <c r="I297" s="19"/>
      <c r="J297" s="19"/>
      <c r="K297" s="19"/>
      <c r="L297" s="19"/>
      <c r="M297" s="19"/>
      <c r="N297" s="19"/>
      <c r="O297" s="19"/>
      <c r="P297" s="19"/>
      <c r="Q297" s="19"/>
      <c r="R297" s="17"/>
    </row>
    <row r="298" spans="1:18">
      <c r="A298" s="17"/>
      <c r="C298" s="19"/>
      <c r="D298" s="19"/>
      <c r="E298" s="19"/>
      <c r="F298" s="19"/>
      <c r="G298" s="19"/>
      <c r="H298" s="19"/>
      <c r="I298" s="19"/>
      <c r="J298" s="19"/>
      <c r="K298" s="19"/>
      <c r="L298" s="19"/>
      <c r="M298" s="19"/>
      <c r="N298" s="19"/>
      <c r="O298" s="19"/>
      <c r="P298" s="19"/>
      <c r="Q298" s="19"/>
      <c r="R298" s="17"/>
    </row>
    <row r="299" spans="1:18">
      <c r="A299" s="17"/>
      <c r="C299" s="19"/>
      <c r="D299" s="19"/>
      <c r="E299" s="19"/>
      <c r="F299" s="19"/>
      <c r="G299" s="19"/>
      <c r="H299" s="19"/>
      <c r="I299" s="19"/>
      <c r="J299" s="19"/>
      <c r="K299" s="19"/>
      <c r="L299" s="19"/>
      <c r="M299" s="19"/>
      <c r="N299" s="19"/>
      <c r="O299" s="19"/>
      <c r="P299" s="19"/>
      <c r="Q299" s="19"/>
      <c r="R299" s="17"/>
    </row>
    <row r="300" spans="1:18">
      <c r="A300" s="17"/>
      <c r="C300" s="19"/>
      <c r="D300" s="19"/>
      <c r="E300" s="19"/>
      <c r="F300" s="19"/>
      <c r="G300" s="19"/>
      <c r="H300" s="19"/>
      <c r="I300" s="19"/>
      <c r="J300" s="19"/>
      <c r="K300" s="19"/>
      <c r="L300" s="19"/>
      <c r="M300" s="19"/>
      <c r="N300" s="19"/>
      <c r="O300" s="19"/>
      <c r="P300" s="19"/>
      <c r="Q300" s="19"/>
      <c r="R300" s="17"/>
    </row>
    <row r="301" spans="1:18">
      <c r="A301" s="17"/>
      <c r="C301" s="19"/>
      <c r="D301" s="19"/>
      <c r="E301" s="19"/>
      <c r="F301" s="19"/>
      <c r="G301" s="19"/>
      <c r="H301" s="19"/>
      <c r="I301" s="19"/>
      <c r="J301" s="19"/>
      <c r="K301" s="19"/>
      <c r="L301" s="19"/>
      <c r="M301" s="19"/>
      <c r="N301" s="19"/>
      <c r="O301" s="19"/>
      <c r="P301" s="19"/>
      <c r="Q301" s="19"/>
      <c r="R301" s="17"/>
    </row>
    <row r="302" spans="1:18">
      <c r="A302" s="17"/>
      <c r="C302" s="19"/>
      <c r="D302" s="19"/>
      <c r="E302" s="19"/>
      <c r="F302" s="19"/>
      <c r="G302" s="19"/>
      <c r="H302" s="19"/>
      <c r="I302" s="19"/>
      <c r="J302" s="19"/>
      <c r="K302" s="19"/>
      <c r="L302" s="19"/>
      <c r="M302" s="19"/>
      <c r="N302" s="19"/>
      <c r="O302" s="19"/>
      <c r="P302" s="19"/>
      <c r="Q302" s="19"/>
      <c r="R302" s="17"/>
    </row>
    <row r="303" spans="1:18">
      <c r="A303" s="17"/>
      <c r="C303" s="19"/>
      <c r="D303" s="19"/>
      <c r="E303" s="19"/>
      <c r="F303" s="19"/>
      <c r="G303" s="19"/>
      <c r="H303" s="19"/>
      <c r="I303" s="19"/>
      <c r="J303" s="19"/>
      <c r="K303" s="19"/>
      <c r="L303" s="19"/>
      <c r="M303" s="19"/>
      <c r="N303" s="19"/>
      <c r="O303" s="19"/>
      <c r="P303" s="19"/>
      <c r="Q303" s="19"/>
      <c r="R303" s="17"/>
    </row>
    <row r="304" spans="1:18">
      <c r="A304" s="17"/>
      <c r="C304" s="19"/>
      <c r="D304" s="19"/>
      <c r="E304" s="19"/>
      <c r="F304" s="19"/>
      <c r="G304" s="19"/>
      <c r="H304" s="19"/>
      <c r="I304" s="19"/>
      <c r="J304" s="19"/>
      <c r="K304" s="19"/>
      <c r="L304" s="19"/>
      <c r="M304" s="19"/>
      <c r="N304" s="19"/>
      <c r="O304" s="19"/>
      <c r="P304" s="19"/>
      <c r="Q304" s="19"/>
      <c r="R304" s="17"/>
    </row>
    <row r="305" spans="1:18">
      <c r="A305" s="17"/>
      <c r="C305" s="19"/>
      <c r="D305" s="19"/>
      <c r="E305" s="19"/>
      <c r="F305" s="19"/>
      <c r="G305" s="19"/>
      <c r="H305" s="19"/>
      <c r="I305" s="19"/>
      <c r="J305" s="19"/>
      <c r="K305" s="19"/>
      <c r="L305" s="19"/>
      <c r="M305" s="19"/>
      <c r="N305" s="19"/>
      <c r="O305" s="19"/>
      <c r="P305" s="19"/>
      <c r="Q305" s="19"/>
      <c r="R305" s="17"/>
    </row>
    <row r="306" spans="1:18">
      <c r="A306" s="17"/>
      <c r="C306" s="19"/>
      <c r="D306" s="19"/>
      <c r="E306" s="19"/>
      <c r="F306" s="19"/>
      <c r="G306" s="19"/>
      <c r="H306" s="19"/>
      <c r="I306" s="19"/>
      <c r="J306" s="19"/>
      <c r="K306" s="19"/>
      <c r="L306" s="19"/>
      <c r="M306" s="19"/>
      <c r="N306" s="19"/>
      <c r="O306" s="19"/>
      <c r="P306" s="19"/>
      <c r="Q306" s="19"/>
      <c r="R306" s="17"/>
    </row>
    <row r="307" spans="1:18">
      <c r="A307" s="17"/>
      <c r="C307" s="19"/>
      <c r="D307" s="19"/>
      <c r="E307" s="19"/>
      <c r="F307" s="19"/>
      <c r="G307" s="19"/>
      <c r="H307" s="19"/>
      <c r="I307" s="19"/>
      <c r="J307" s="19"/>
      <c r="K307" s="19"/>
      <c r="L307" s="19"/>
      <c r="M307" s="19"/>
      <c r="N307" s="19"/>
      <c r="O307" s="19"/>
      <c r="P307" s="19"/>
      <c r="Q307" s="19"/>
      <c r="R307" s="17"/>
    </row>
    <row r="308" spans="1:18">
      <c r="A308" s="17"/>
      <c r="C308" s="19"/>
      <c r="D308" s="19"/>
      <c r="E308" s="19"/>
      <c r="F308" s="19"/>
      <c r="G308" s="19"/>
      <c r="H308" s="19"/>
      <c r="I308" s="19"/>
      <c r="J308" s="19"/>
      <c r="K308" s="19"/>
      <c r="L308" s="19"/>
      <c r="M308" s="19"/>
      <c r="N308" s="19"/>
      <c r="O308" s="19"/>
      <c r="P308" s="19"/>
      <c r="Q308" s="19"/>
      <c r="R308" s="17"/>
    </row>
    <row r="309" spans="1:18">
      <c r="A309" s="17"/>
      <c r="C309" s="19"/>
      <c r="D309" s="19"/>
      <c r="E309" s="19"/>
      <c r="F309" s="19"/>
      <c r="G309" s="19"/>
      <c r="H309" s="19"/>
      <c r="I309" s="19"/>
      <c r="J309" s="19"/>
      <c r="K309" s="19"/>
      <c r="L309" s="19"/>
      <c r="M309" s="19"/>
      <c r="N309" s="19"/>
      <c r="O309" s="19"/>
      <c r="P309" s="19"/>
      <c r="Q309" s="19"/>
      <c r="R309" s="17"/>
    </row>
    <row r="310" spans="1:18">
      <c r="A310" s="17"/>
      <c r="C310" s="19"/>
      <c r="D310" s="19"/>
      <c r="E310" s="19"/>
      <c r="F310" s="19"/>
      <c r="G310" s="19"/>
      <c r="H310" s="19"/>
      <c r="I310" s="19"/>
      <c r="J310" s="19"/>
      <c r="K310" s="19"/>
      <c r="L310" s="19"/>
      <c r="M310" s="19"/>
      <c r="N310" s="19"/>
      <c r="O310" s="19"/>
      <c r="P310" s="19"/>
      <c r="Q310" s="19"/>
      <c r="R310" s="17"/>
    </row>
    <row r="311" spans="1:18">
      <c r="A311" s="17"/>
      <c r="C311" s="19"/>
      <c r="D311" s="19"/>
      <c r="E311" s="19"/>
      <c r="F311" s="19"/>
      <c r="G311" s="19"/>
      <c r="H311" s="19"/>
      <c r="I311" s="19"/>
      <c r="J311" s="19"/>
      <c r="K311" s="19"/>
      <c r="L311" s="19"/>
      <c r="M311" s="19"/>
      <c r="N311" s="19"/>
      <c r="O311" s="19"/>
      <c r="P311" s="19"/>
      <c r="Q311" s="19"/>
      <c r="R311" s="17"/>
    </row>
    <row r="312" spans="1:18">
      <c r="A312" s="17"/>
      <c r="C312" s="19"/>
      <c r="D312" s="19"/>
      <c r="E312" s="19"/>
      <c r="F312" s="19"/>
      <c r="G312" s="19"/>
      <c r="H312" s="19"/>
      <c r="I312" s="19"/>
      <c r="J312" s="19"/>
      <c r="K312" s="19"/>
      <c r="L312" s="19"/>
      <c r="M312" s="19"/>
      <c r="N312" s="19"/>
      <c r="O312" s="19"/>
      <c r="P312" s="19"/>
      <c r="Q312" s="19"/>
      <c r="R312" s="17"/>
    </row>
    <row r="313" spans="1:18">
      <c r="A313" s="17"/>
      <c r="C313" s="19"/>
      <c r="D313" s="19"/>
      <c r="E313" s="19"/>
      <c r="F313" s="19"/>
      <c r="G313" s="19"/>
      <c r="H313" s="19"/>
      <c r="I313" s="19"/>
      <c r="J313" s="19"/>
      <c r="K313" s="19"/>
      <c r="L313" s="19"/>
      <c r="M313" s="19"/>
      <c r="N313" s="19"/>
      <c r="O313" s="19"/>
      <c r="P313" s="19"/>
      <c r="Q313" s="19"/>
      <c r="R313" s="17"/>
    </row>
    <row r="314" spans="1:18">
      <c r="A314" s="17"/>
      <c r="C314" s="19"/>
      <c r="D314" s="19"/>
      <c r="E314" s="19"/>
      <c r="F314" s="19"/>
      <c r="G314" s="19"/>
      <c r="H314" s="19"/>
      <c r="I314" s="19"/>
      <c r="J314" s="19"/>
      <c r="K314" s="19"/>
      <c r="L314" s="19"/>
      <c r="M314" s="19"/>
      <c r="N314" s="19"/>
      <c r="O314" s="19"/>
      <c r="P314" s="19"/>
      <c r="Q314" s="19"/>
      <c r="R314" s="17"/>
    </row>
    <row r="315" spans="1:18">
      <c r="A315" s="17"/>
      <c r="C315" s="19"/>
      <c r="D315" s="19"/>
      <c r="E315" s="19"/>
      <c r="F315" s="19"/>
      <c r="G315" s="19"/>
      <c r="H315" s="19"/>
      <c r="I315" s="19"/>
      <c r="J315" s="19"/>
      <c r="K315" s="19"/>
      <c r="L315" s="19"/>
      <c r="M315" s="19"/>
      <c r="N315" s="19"/>
      <c r="O315" s="19"/>
      <c r="P315" s="19"/>
      <c r="Q315" s="19"/>
      <c r="R315" s="17"/>
    </row>
    <row r="316" spans="1:18">
      <c r="A316" s="17"/>
      <c r="C316" s="19"/>
      <c r="D316" s="19"/>
      <c r="E316" s="19"/>
      <c r="F316" s="19"/>
      <c r="G316" s="19"/>
      <c r="H316" s="19"/>
      <c r="I316" s="19"/>
      <c r="J316" s="19"/>
      <c r="K316" s="19"/>
      <c r="L316" s="19"/>
      <c r="M316" s="19"/>
      <c r="N316" s="19"/>
      <c r="O316" s="19"/>
      <c r="P316" s="19"/>
      <c r="Q316" s="19"/>
      <c r="R316" s="17"/>
    </row>
    <row r="317" spans="1:18">
      <c r="A317" s="17"/>
      <c r="C317" s="19"/>
      <c r="D317" s="19"/>
      <c r="E317" s="19"/>
      <c r="F317" s="19"/>
      <c r="G317" s="19"/>
      <c r="H317" s="19"/>
      <c r="I317" s="19"/>
      <c r="J317" s="19"/>
      <c r="K317" s="19"/>
      <c r="L317" s="19"/>
      <c r="M317" s="19"/>
      <c r="N317" s="19"/>
      <c r="O317" s="19"/>
      <c r="P317" s="19"/>
      <c r="Q317" s="19"/>
      <c r="R317" s="17"/>
    </row>
    <row r="318" spans="1:18">
      <c r="A318" s="17"/>
      <c r="C318" s="19"/>
      <c r="D318" s="19"/>
      <c r="E318" s="19"/>
      <c r="F318" s="19"/>
      <c r="G318" s="19"/>
      <c r="H318" s="19"/>
      <c r="I318" s="19"/>
      <c r="J318" s="19"/>
      <c r="K318" s="19"/>
      <c r="L318" s="19"/>
      <c r="M318" s="19"/>
      <c r="N318" s="19"/>
      <c r="O318" s="19"/>
      <c r="P318" s="19"/>
      <c r="Q318" s="19"/>
      <c r="R318" s="17"/>
    </row>
    <row r="319" spans="1:18">
      <c r="A319" s="17"/>
      <c r="C319" s="19"/>
      <c r="D319" s="19"/>
      <c r="E319" s="19"/>
      <c r="F319" s="19"/>
      <c r="G319" s="19"/>
      <c r="H319" s="19"/>
      <c r="I319" s="19"/>
      <c r="J319" s="19"/>
      <c r="K319" s="19"/>
      <c r="L319" s="19"/>
      <c r="M319" s="19"/>
      <c r="N319" s="19"/>
      <c r="O319" s="19"/>
      <c r="P319" s="19"/>
      <c r="Q319" s="19"/>
      <c r="R319" s="17"/>
    </row>
    <row r="320" spans="1:18">
      <c r="A320" s="17"/>
      <c r="C320" s="19"/>
      <c r="D320" s="19"/>
      <c r="E320" s="19"/>
      <c r="F320" s="19"/>
      <c r="G320" s="19"/>
      <c r="H320" s="19"/>
      <c r="I320" s="19"/>
      <c r="J320" s="19"/>
      <c r="K320" s="19"/>
      <c r="L320" s="19"/>
      <c r="M320" s="19"/>
      <c r="N320" s="19"/>
      <c r="O320" s="19"/>
      <c r="P320" s="19"/>
      <c r="Q320" s="19"/>
      <c r="R320" s="17"/>
    </row>
    <row r="321" spans="1:18">
      <c r="A321" s="17"/>
      <c r="C321" s="19"/>
      <c r="D321" s="19"/>
      <c r="E321" s="19"/>
      <c r="F321" s="19"/>
      <c r="G321" s="19"/>
      <c r="H321" s="19"/>
      <c r="I321" s="19"/>
      <c r="J321" s="19"/>
      <c r="K321" s="19"/>
      <c r="L321" s="19"/>
      <c r="M321" s="19"/>
      <c r="N321" s="19"/>
      <c r="O321" s="19"/>
      <c r="P321" s="19"/>
      <c r="Q321" s="19"/>
      <c r="R321" s="17"/>
    </row>
    <row r="322" spans="1:18">
      <c r="A322" s="17"/>
      <c r="C322" s="19"/>
      <c r="D322" s="19"/>
      <c r="E322" s="19"/>
      <c r="F322" s="19"/>
      <c r="G322" s="19"/>
      <c r="H322" s="19"/>
      <c r="I322" s="19"/>
      <c r="J322" s="19"/>
      <c r="K322" s="19"/>
      <c r="L322" s="19"/>
      <c r="M322" s="19"/>
      <c r="N322" s="19"/>
      <c r="O322" s="19"/>
      <c r="P322" s="19"/>
      <c r="Q322" s="19"/>
      <c r="R322" s="17"/>
    </row>
    <row r="323" spans="1:18">
      <c r="A323" s="17"/>
      <c r="C323" s="19"/>
      <c r="D323" s="19"/>
      <c r="E323" s="19"/>
      <c r="F323" s="19"/>
      <c r="G323" s="19"/>
      <c r="H323" s="19"/>
      <c r="I323" s="19"/>
      <c r="J323" s="19"/>
      <c r="K323" s="19"/>
      <c r="L323" s="19"/>
      <c r="M323" s="19"/>
      <c r="N323" s="19"/>
      <c r="O323" s="19"/>
      <c r="P323" s="19"/>
      <c r="Q323" s="19"/>
      <c r="R323" s="17"/>
    </row>
    <row r="324" spans="1:18">
      <c r="A324" s="17"/>
      <c r="C324" s="19"/>
      <c r="D324" s="19"/>
      <c r="E324" s="19"/>
      <c r="F324" s="19"/>
      <c r="G324" s="19"/>
      <c r="H324" s="19"/>
      <c r="I324" s="19"/>
      <c r="J324" s="19"/>
      <c r="K324" s="19"/>
      <c r="L324" s="19"/>
      <c r="M324" s="19"/>
      <c r="N324" s="19"/>
      <c r="O324" s="19"/>
      <c r="P324" s="19"/>
      <c r="Q324" s="19"/>
      <c r="R324" s="17"/>
    </row>
    <row r="325" spans="1:18">
      <c r="A325" s="17"/>
      <c r="C325" s="19"/>
      <c r="D325" s="19"/>
      <c r="E325" s="19"/>
      <c r="F325" s="19"/>
      <c r="G325" s="19"/>
      <c r="H325" s="19"/>
      <c r="I325" s="19"/>
      <c r="J325" s="19"/>
      <c r="K325" s="19"/>
      <c r="L325" s="19"/>
      <c r="M325" s="19"/>
      <c r="N325" s="19"/>
      <c r="O325" s="19"/>
      <c r="P325" s="19"/>
      <c r="Q325" s="19"/>
      <c r="R325" s="17"/>
    </row>
    <row r="326" spans="1:18">
      <c r="A326" s="17"/>
      <c r="C326" s="19"/>
      <c r="D326" s="19"/>
      <c r="E326" s="19"/>
      <c r="F326" s="19"/>
      <c r="G326" s="19"/>
      <c r="H326" s="19"/>
      <c r="I326" s="19"/>
      <c r="J326" s="19"/>
      <c r="K326" s="19"/>
      <c r="L326" s="19"/>
      <c r="M326" s="19"/>
      <c r="N326" s="19"/>
      <c r="O326" s="19"/>
      <c r="P326" s="19"/>
      <c r="Q326" s="19"/>
      <c r="R326" s="17"/>
    </row>
    <row r="327" spans="1:18">
      <c r="A327" s="17"/>
      <c r="C327" s="19"/>
      <c r="D327" s="19"/>
      <c r="E327" s="19"/>
      <c r="F327" s="19"/>
      <c r="G327" s="19"/>
      <c r="H327" s="19"/>
      <c r="I327" s="19"/>
      <c r="J327" s="19"/>
      <c r="K327" s="19"/>
      <c r="L327" s="19"/>
      <c r="M327" s="19"/>
      <c r="N327" s="19"/>
      <c r="O327" s="19"/>
      <c r="P327" s="19"/>
      <c r="Q327" s="19"/>
      <c r="R327" s="17"/>
    </row>
    <row r="328" spans="1:18">
      <c r="A328" s="17"/>
      <c r="C328" s="19"/>
      <c r="D328" s="19"/>
      <c r="E328" s="19"/>
      <c r="F328" s="19"/>
      <c r="G328" s="19"/>
      <c r="H328" s="19"/>
      <c r="I328" s="19"/>
      <c r="J328" s="19"/>
      <c r="K328" s="19"/>
      <c r="L328" s="19"/>
      <c r="M328" s="19"/>
      <c r="N328" s="19"/>
      <c r="O328" s="19"/>
      <c r="P328" s="19"/>
      <c r="Q328" s="19"/>
      <c r="R328" s="17"/>
    </row>
    <row r="329" spans="1:18">
      <c r="A329" s="17"/>
      <c r="C329" s="19"/>
      <c r="D329" s="19"/>
      <c r="E329" s="19"/>
      <c r="F329" s="19"/>
      <c r="G329" s="19"/>
      <c r="H329" s="19"/>
      <c r="I329" s="19"/>
      <c r="J329" s="19"/>
      <c r="K329" s="19"/>
      <c r="L329" s="19"/>
      <c r="M329" s="19"/>
      <c r="N329" s="19"/>
      <c r="O329" s="19"/>
      <c r="P329" s="19"/>
      <c r="Q329" s="19"/>
      <c r="R329" s="17"/>
    </row>
    <row r="330" spans="1:18">
      <c r="A330" s="17"/>
      <c r="C330" s="19"/>
      <c r="D330" s="19"/>
      <c r="E330" s="19"/>
      <c r="F330" s="19"/>
      <c r="G330" s="19"/>
      <c r="H330" s="19"/>
      <c r="I330" s="19"/>
      <c r="J330" s="19"/>
      <c r="K330" s="19"/>
      <c r="L330" s="19"/>
      <c r="M330" s="19"/>
      <c r="N330" s="19"/>
      <c r="O330" s="19"/>
      <c r="P330" s="19"/>
      <c r="Q330" s="19"/>
      <c r="R330" s="17"/>
    </row>
    <row r="331" spans="1:18">
      <c r="A331" s="17"/>
      <c r="C331" s="19"/>
      <c r="D331" s="19"/>
      <c r="E331" s="19"/>
      <c r="F331" s="19"/>
      <c r="G331" s="19"/>
      <c r="H331" s="19"/>
      <c r="I331" s="19"/>
      <c r="J331" s="19"/>
      <c r="K331" s="19"/>
      <c r="L331" s="19"/>
      <c r="M331" s="19"/>
      <c r="N331" s="19"/>
      <c r="O331" s="19"/>
      <c r="P331" s="19"/>
      <c r="Q331" s="19"/>
      <c r="R331" s="17"/>
    </row>
    <row r="332" spans="1:18">
      <c r="A332" s="17"/>
      <c r="C332" s="19"/>
      <c r="D332" s="19"/>
      <c r="E332" s="19"/>
      <c r="F332" s="19"/>
      <c r="G332" s="19"/>
      <c r="H332" s="19"/>
      <c r="I332" s="19"/>
      <c r="J332" s="19"/>
      <c r="K332" s="19"/>
      <c r="L332" s="19"/>
      <c r="M332" s="19"/>
      <c r="N332" s="19"/>
      <c r="O332" s="19"/>
      <c r="P332" s="19"/>
      <c r="Q332" s="19"/>
      <c r="R332" s="17"/>
    </row>
    <row r="333" spans="1:18">
      <c r="A333" s="17"/>
      <c r="C333" s="19"/>
      <c r="D333" s="19"/>
      <c r="E333" s="19"/>
      <c r="F333" s="19"/>
      <c r="G333" s="19"/>
      <c r="H333" s="19"/>
      <c r="I333" s="19"/>
      <c r="J333" s="19"/>
      <c r="K333" s="19"/>
      <c r="L333" s="19"/>
      <c r="M333" s="19"/>
      <c r="N333" s="19"/>
      <c r="O333" s="19"/>
      <c r="P333" s="19"/>
      <c r="Q333" s="19"/>
      <c r="R333" s="17"/>
    </row>
    <row r="334" spans="1:18">
      <c r="A334" s="17"/>
      <c r="C334" s="19"/>
      <c r="D334" s="19"/>
      <c r="E334" s="19"/>
      <c r="F334" s="19"/>
      <c r="G334" s="19"/>
      <c r="H334" s="19"/>
      <c r="I334" s="19"/>
      <c r="J334" s="19"/>
      <c r="K334" s="19"/>
      <c r="L334" s="19"/>
      <c r="M334" s="19"/>
      <c r="N334" s="19"/>
      <c r="O334" s="19"/>
      <c r="P334" s="19"/>
      <c r="Q334" s="19"/>
      <c r="R334" s="17"/>
    </row>
    <row r="335" spans="1:18">
      <c r="A335" s="17"/>
      <c r="C335" s="19"/>
      <c r="D335" s="19"/>
      <c r="E335" s="19"/>
      <c r="F335" s="19"/>
      <c r="G335" s="19"/>
      <c r="H335" s="19"/>
      <c r="I335" s="19"/>
      <c r="J335" s="19"/>
      <c r="K335" s="19"/>
      <c r="L335" s="19"/>
      <c r="M335" s="19"/>
      <c r="N335" s="19"/>
      <c r="O335" s="19"/>
      <c r="P335" s="19"/>
      <c r="Q335" s="19"/>
      <c r="R335" s="17"/>
    </row>
    <row r="336" spans="1:18">
      <c r="A336" s="17"/>
      <c r="C336" s="19"/>
      <c r="D336" s="19"/>
      <c r="E336" s="19"/>
      <c r="F336" s="19"/>
      <c r="G336" s="19"/>
      <c r="H336" s="19"/>
      <c r="I336" s="19"/>
      <c r="J336" s="19"/>
      <c r="K336" s="19"/>
      <c r="L336" s="19"/>
      <c r="M336" s="19"/>
      <c r="N336" s="19"/>
      <c r="O336" s="19"/>
      <c r="P336" s="19"/>
      <c r="Q336" s="19"/>
      <c r="R336" s="17"/>
    </row>
    <row r="337" spans="1:18">
      <c r="A337" s="17"/>
      <c r="C337" s="19"/>
      <c r="D337" s="19"/>
      <c r="E337" s="19"/>
      <c r="F337" s="19"/>
      <c r="G337" s="19"/>
      <c r="H337" s="19"/>
      <c r="I337" s="19"/>
      <c r="J337" s="19"/>
      <c r="K337" s="19"/>
      <c r="L337" s="19"/>
      <c r="M337" s="19"/>
      <c r="N337" s="19"/>
      <c r="O337" s="19"/>
      <c r="P337" s="19"/>
      <c r="Q337" s="19"/>
      <c r="R337" s="17"/>
    </row>
    <row r="338" spans="1:18">
      <c r="A338" s="17"/>
      <c r="C338" s="19"/>
      <c r="D338" s="19"/>
      <c r="E338" s="19"/>
      <c r="F338" s="19"/>
      <c r="G338" s="19"/>
      <c r="H338" s="19"/>
      <c r="I338" s="19"/>
      <c r="J338" s="19"/>
      <c r="K338" s="19"/>
      <c r="L338" s="19"/>
      <c r="M338" s="19"/>
      <c r="N338" s="19"/>
      <c r="O338" s="19"/>
      <c r="P338" s="19"/>
      <c r="Q338" s="19"/>
      <c r="R338" s="17"/>
    </row>
    <row r="339" spans="1:18">
      <c r="A339" s="17"/>
      <c r="C339" s="19"/>
      <c r="D339" s="19"/>
      <c r="E339" s="19"/>
      <c r="F339" s="19"/>
      <c r="G339" s="19"/>
      <c r="H339" s="19"/>
      <c r="I339" s="19"/>
      <c r="J339" s="19"/>
      <c r="K339" s="19"/>
      <c r="L339" s="19"/>
      <c r="M339" s="19"/>
      <c r="N339" s="19"/>
      <c r="O339" s="19"/>
      <c r="P339" s="19"/>
      <c r="Q339" s="19"/>
      <c r="R339" s="17"/>
    </row>
    <row r="340" spans="1:18">
      <c r="A340" s="17"/>
      <c r="C340" s="19"/>
      <c r="D340" s="19"/>
      <c r="E340" s="19"/>
      <c r="F340" s="19"/>
      <c r="G340" s="19"/>
      <c r="H340" s="19"/>
      <c r="I340" s="19"/>
      <c r="J340" s="19"/>
      <c r="K340" s="19"/>
      <c r="L340" s="19"/>
      <c r="M340" s="19"/>
      <c r="N340" s="19"/>
      <c r="O340" s="19"/>
      <c r="P340" s="19"/>
      <c r="Q340" s="19"/>
      <c r="R340" s="17"/>
    </row>
    <row r="341" spans="1:18">
      <c r="A341" s="17"/>
      <c r="C341" s="19"/>
      <c r="D341" s="19"/>
      <c r="E341" s="19"/>
      <c r="F341" s="19"/>
      <c r="G341" s="19"/>
      <c r="H341" s="19"/>
      <c r="I341" s="19"/>
      <c r="J341" s="19"/>
      <c r="K341" s="19"/>
      <c r="L341" s="19"/>
      <c r="M341" s="19"/>
      <c r="N341" s="19"/>
      <c r="O341" s="19"/>
      <c r="P341" s="19"/>
      <c r="Q341" s="19"/>
      <c r="R341" s="17"/>
    </row>
    <row r="342" spans="1:18">
      <c r="A342" s="17"/>
      <c r="C342" s="19"/>
      <c r="D342" s="19"/>
      <c r="E342" s="19"/>
      <c r="F342" s="19"/>
      <c r="G342" s="19"/>
      <c r="H342" s="19"/>
      <c r="I342" s="19"/>
      <c r="J342" s="19"/>
      <c r="K342" s="19"/>
      <c r="L342" s="19"/>
      <c r="M342" s="19"/>
      <c r="N342" s="19"/>
      <c r="O342" s="19"/>
      <c r="P342" s="19"/>
      <c r="Q342" s="19"/>
      <c r="R342" s="17"/>
    </row>
    <row r="343" spans="1:18">
      <c r="A343" s="17"/>
      <c r="C343" s="19"/>
      <c r="D343" s="19"/>
      <c r="E343" s="19"/>
      <c r="F343" s="19"/>
      <c r="G343" s="19"/>
      <c r="H343" s="19"/>
      <c r="I343" s="19"/>
      <c r="J343" s="19"/>
      <c r="K343" s="19"/>
      <c r="L343" s="19"/>
      <c r="M343" s="19"/>
      <c r="N343" s="19"/>
      <c r="O343" s="19"/>
      <c r="P343" s="19"/>
      <c r="Q343" s="19"/>
      <c r="R343" s="17"/>
    </row>
    <row r="344" spans="1:18">
      <c r="A344" s="17"/>
      <c r="C344" s="19"/>
      <c r="D344" s="19"/>
      <c r="E344" s="19"/>
      <c r="F344" s="19"/>
      <c r="G344" s="19"/>
      <c r="H344" s="19"/>
      <c r="I344" s="19"/>
      <c r="J344" s="19"/>
      <c r="K344" s="19"/>
      <c r="L344" s="19"/>
      <c r="M344" s="19"/>
      <c r="N344" s="19"/>
      <c r="O344" s="19"/>
      <c r="P344" s="19"/>
      <c r="Q344" s="19"/>
      <c r="R344" s="17"/>
    </row>
    <row r="345" spans="1:18">
      <c r="A345" s="17"/>
      <c r="C345" s="19"/>
      <c r="D345" s="19"/>
      <c r="E345" s="19"/>
      <c r="F345" s="19"/>
      <c r="G345" s="19"/>
      <c r="H345" s="19"/>
      <c r="I345" s="19"/>
      <c r="J345" s="19"/>
      <c r="K345" s="19"/>
      <c r="L345" s="19"/>
      <c r="M345" s="19"/>
      <c r="N345" s="19"/>
      <c r="O345" s="19"/>
      <c r="P345" s="19"/>
      <c r="Q345" s="19"/>
      <c r="R345" s="17"/>
    </row>
    <row r="346" spans="1:18">
      <c r="A346" s="17"/>
      <c r="C346" s="19"/>
      <c r="D346" s="19"/>
      <c r="E346" s="19"/>
      <c r="F346" s="19"/>
      <c r="G346" s="19"/>
      <c r="H346" s="19"/>
      <c r="I346" s="19"/>
      <c r="J346" s="19"/>
      <c r="K346" s="19"/>
      <c r="L346" s="19"/>
      <c r="M346" s="19"/>
      <c r="N346" s="19"/>
      <c r="O346" s="19"/>
      <c r="P346" s="19"/>
      <c r="Q346" s="19"/>
      <c r="R346" s="17"/>
    </row>
    <row r="347" spans="1:18">
      <c r="A347" s="17"/>
      <c r="C347" s="19"/>
      <c r="D347" s="19"/>
      <c r="E347" s="19"/>
      <c r="F347" s="19"/>
      <c r="G347" s="19"/>
      <c r="H347" s="19"/>
      <c r="I347" s="19"/>
      <c r="J347" s="19"/>
      <c r="K347" s="19"/>
      <c r="L347" s="19"/>
      <c r="M347" s="19"/>
      <c r="N347" s="19"/>
      <c r="O347" s="19"/>
      <c r="P347" s="19"/>
      <c r="Q347" s="19"/>
      <c r="R347" s="17"/>
    </row>
    <row r="348" spans="1:18">
      <c r="A348" s="17"/>
      <c r="C348" s="19"/>
      <c r="D348" s="19"/>
      <c r="E348" s="19"/>
      <c r="F348" s="19"/>
      <c r="G348" s="19"/>
      <c r="H348" s="19"/>
      <c r="I348" s="19"/>
      <c r="J348" s="19"/>
      <c r="K348" s="19"/>
      <c r="L348" s="19"/>
      <c r="M348" s="19"/>
      <c r="N348" s="19"/>
      <c r="O348" s="19"/>
      <c r="P348" s="19"/>
      <c r="Q348" s="19"/>
      <c r="R348" s="17"/>
    </row>
    <row r="349" spans="1:18">
      <c r="A349" s="17"/>
      <c r="C349" s="19"/>
      <c r="D349" s="19"/>
      <c r="E349" s="19"/>
      <c r="F349" s="19"/>
      <c r="G349" s="19"/>
      <c r="H349" s="19"/>
      <c r="I349" s="19"/>
      <c r="J349" s="19"/>
      <c r="K349" s="19"/>
      <c r="L349" s="19"/>
      <c r="M349" s="19"/>
      <c r="N349" s="19"/>
      <c r="O349" s="19"/>
      <c r="P349" s="19"/>
      <c r="Q349" s="19"/>
      <c r="R349" s="17"/>
    </row>
    <row r="350" spans="1:18">
      <c r="A350" s="17"/>
      <c r="C350" s="19"/>
      <c r="D350" s="19"/>
      <c r="E350" s="19"/>
      <c r="F350" s="19"/>
      <c r="G350" s="19"/>
      <c r="H350" s="19"/>
      <c r="I350" s="19"/>
      <c r="J350" s="19"/>
      <c r="K350" s="19"/>
      <c r="L350" s="19"/>
      <c r="M350" s="19"/>
      <c r="N350" s="19"/>
      <c r="O350" s="19"/>
      <c r="P350" s="19"/>
      <c r="Q350" s="19"/>
      <c r="R350" s="17"/>
    </row>
    <row r="351" spans="1:18">
      <c r="A351" s="17"/>
      <c r="C351" s="19"/>
      <c r="D351" s="19"/>
      <c r="E351" s="19"/>
      <c r="F351" s="19"/>
      <c r="G351" s="19"/>
      <c r="H351" s="19"/>
      <c r="I351" s="19"/>
      <c r="J351" s="19"/>
      <c r="K351" s="19"/>
      <c r="L351" s="19"/>
      <c r="M351" s="19"/>
      <c r="N351" s="19"/>
      <c r="O351" s="19"/>
      <c r="P351" s="19"/>
      <c r="Q351" s="19"/>
      <c r="R351" s="17"/>
    </row>
    <row r="352" spans="1:18">
      <c r="A352" s="17"/>
      <c r="C352" s="19"/>
      <c r="D352" s="19"/>
      <c r="E352" s="19"/>
      <c r="F352" s="19"/>
      <c r="G352" s="19"/>
      <c r="H352" s="19"/>
      <c r="I352" s="19"/>
      <c r="J352" s="19"/>
      <c r="K352" s="19"/>
      <c r="L352" s="19"/>
      <c r="M352" s="19"/>
      <c r="N352" s="19"/>
      <c r="O352" s="19"/>
      <c r="P352" s="19"/>
      <c r="Q352" s="19"/>
      <c r="R352" s="17"/>
    </row>
    <row r="353" spans="1:18">
      <c r="A353" s="17"/>
      <c r="C353" s="19"/>
      <c r="D353" s="19"/>
      <c r="E353" s="19"/>
      <c r="F353" s="19"/>
      <c r="G353" s="19"/>
      <c r="H353" s="19"/>
      <c r="I353" s="19"/>
      <c r="J353" s="19"/>
      <c r="K353" s="19"/>
      <c r="L353" s="19"/>
      <c r="M353" s="19"/>
      <c r="N353" s="19"/>
      <c r="O353" s="19"/>
      <c r="P353" s="19"/>
      <c r="Q353" s="19"/>
      <c r="R353" s="17"/>
    </row>
    <row r="354" spans="1:18">
      <c r="A354" s="17"/>
      <c r="C354" s="19"/>
      <c r="D354" s="19"/>
      <c r="E354" s="19"/>
      <c r="F354" s="19"/>
      <c r="G354" s="19"/>
      <c r="H354" s="19"/>
      <c r="I354" s="19"/>
      <c r="J354" s="19"/>
      <c r="K354" s="19"/>
      <c r="L354" s="19"/>
      <c r="M354" s="19"/>
      <c r="N354" s="19"/>
      <c r="O354" s="19"/>
      <c r="P354" s="19"/>
      <c r="Q354" s="19"/>
      <c r="R354" s="17"/>
    </row>
    <row r="355" spans="1:18">
      <c r="A355" s="17"/>
      <c r="C355" s="19"/>
      <c r="D355" s="19"/>
      <c r="E355" s="19"/>
      <c r="F355" s="19"/>
      <c r="G355" s="19"/>
      <c r="H355" s="19"/>
      <c r="I355" s="19"/>
      <c r="J355" s="19"/>
      <c r="K355" s="19"/>
      <c r="L355" s="19"/>
      <c r="M355" s="19"/>
      <c r="N355" s="19"/>
      <c r="O355" s="19"/>
      <c r="P355" s="19"/>
      <c r="Q355" s="19"/>
      <c r="R355" s="17"/>
    </row>
    <row r="356" spans="1:18">
      <c r="A356" s="17"/>
      <c r="C356" s="19"/>
      <c r="D356" s="19"/>
      <c r="E356" s="19"/>
      <c r="F356" s="19"/>
      <c r="G356" s="19"/>
      <c r="H356" s="19"/>
      <c r="I356" s="19"/>
      <c r="J356" s="19"/>
      <c r="K356" s="19"/>
      <c r="L356" s="19"/>
      <c r="M356" s="19"/>
      <c r="N356" s="19"/>
      <c r="O356" s="19"/>
      <c r="P356" s="19"/>
      <c r="Q356" s="19"/>
      <c r="R356" s="17"/>
    </row>
    <row r="357" spans="1:18">
      <c r="A357" s="17"/>
      <c r="C357" s="19"/>
      <c r="D357" s="19"/>
      <c r="E357" s="19"/>
      <c r="F357" s="19"/>
      <c r="G357" s="19"/>
      <c r="H357" s="19"/>
      <c r="I357" s="19"/>
      <c r="J357" s="19"/>
      <c r="K357" s="19"/>
      <c r="L357" s="19"/>
      <c r="M357" s="19"/>
      <c r="N357" s="19"/>
      <c r="O357" s="19"/>
      <c r="P357" s="19"/>
      <c r="Q357" s="19"/>
      <c r="R357" s="17"/>
    </row>
    <row r="358" spans="1:18">
      <c r="A358" s="17"/>
      <c r="C358" s="19"/>
      <c r="D358" s="19"/>
      <c r="E358" s="19"/>
      <c r="F358" s="19"/>
      <c r="G358" s="19"/>
      <c r="H358" s="19"/>
      <c r="I358" s="19"/>
      <c r="J358" s="19"/>
      <c r="K358" s="19"/>
      <c r="L358" s="19"/>
      <c r="M358" s="19"/>
      <c r="N358" s="19"/>
      <c r="O358" s="19"/>
      <c r="P358" s="19"/>
      <c r="Q358" s="19"/>
      <c r="R358" s="17"/>
    </row>
    <row r="359" spans="1:18">
      <c r="A359" s="17"/>
      <c r="C359" s="19"/>
      <c r="D359" s="19"/>
      <c r="E359" s="19"/>
      <c r="F359" s="19"/>
      <c r="G359" s="19"/>
      <c r="H359" s="19"/>
      <c r="I359" s="19"/>
      <c r="J359" s="19"/>
      <c r="K359" s="19"/>
      <c r="L359" s="19"/>
      <c r="M359" s="19"/>
      <c r="N359" s="19"/>
      <c r="O359" s="19"/>
      <c r="P359" s="19"/>
      <c r="Q359" s="19"/>
      <c r="R359" s="17"/>
    </row>
    <row r="360" spans="1:18">
      <c r="A360" s="17"/>
      <c r="C360" s="19"/>
      <c r="D360" s="19"/>
      <c r="E360" s="19"/>
      <c r="F360" s="19"/>
      <c r="G360" s="19"/>
      <c r="H360" s="19"/>
      <c r="I360" s="19"/>
      <c r="J360" s="19"/>
      <c r="K360" s="19"/>
      <c r="L360" s="19"/>
      <c r="M360" s="19"/>
      <c r="N360" s="19"/>
      <c r="O360" s="19"/>
      <c r="P360" s="19"/>
      <c r="Q360" s="19"/>
      <c r="R360" s="17"/>
    </row>
    <row r="361" spans="1:18">
      <c r="A361" s="17"/>
      <c r="C361" s="19"/>
      <c r="D361" s="19"/>
      <c r="E361" s="19"/>
      <c r="F361" s="19"/>
      <c r="G361" s="19"/>
      <c r="H361" s="19"/>
      <c r="I361" s="19"/>
      <c r="J361" s="19"/>
      <c r="K361" s="19"/>
      <c r="L361" s="19"/>
      <c r="M361" s="19"/>
      <c r="N361" s="19"/>
      <c r="O361" s="19"/>
      <c r="P361" s="19"/>
      <c r="Q361" s="19"/>
      <c r="R361" s="17"/>
    </row>
    <row r="362" spans="1:18">
      <c r="A362" s="17"/>
      <c r="C362" s="19"/>
      <c r="D362" s="19"/>
      <c r="E362" s="19"/>
      <c r="F362" s="19"/>
      <c r="G362" s="19"/>
      <c r="H362" s="19"/>
      <c r="I362" s="19"/>
      <c r="J362" s="19"/>
      <c r="K362" s="19"/>
      <c r="L362" s="19"/>
      <c r="M362" s="19"/>
      <c r="N362" s="19"/>
      <c r="O362" s="19"/>
      <c r="P362" s="19"/>
      <c r="Q362" s="19"/>
      <c r="R362" s="17"/>
    </row>
    <row r="363" spans="1:18">
      <c r="A363" s="17"/>
      <c r="C363" s="19"/>
      <c r="D363" s="19"/>
      <c r="E363" s="19"/>
      <c r="F363" s="19"/>
      <c r="G363" s="19"/>
      <c r="H363" s="19"/>
      <c r="I363" s="19"/>
      <c r="J363" s="19"/>
      <c r="K363" s="19"/>
      <c r="L363" s="19"/>
      <c r="M363" s="19"/>
      <c r="N363" s="19"/>
      <c r="O363" s="19"/>
      <c r="P363" s="19"/>
      <c r="Q363" s="19"/>
      <c r="R363" s="17"/>
    </row>
    <row r="364" spans="1:18">
      <c r="A364" s="17"/>
      <c r="C364" s="19"/>
      <c r="D364" s="19"/>
      <c r="E364" s="19"/>
      <c r="F364" s="19"/>
      <c r="G364" s="19"/>
      <c r="H364" s="19"/>
      <c r="I364" s="19"/>
      <c r="J364" s="19"/>
      <c r="K364" s="19"/>
      <c r="L364" s="19"/>
      <c r="M364" s="19"/>
      <c r="N364" s="19"/>
      <c r="O364" s="19"/>
      <c r="P364" s="19"/>
      <c r="Q364" s="19"/>
      <c r="R364" s="17"/>
    </row>
    <row r="365" spans="1:18">
      <c r="A365" s="17"/>
      <c r="C365" s="19"/>
      <c r="D365" s="19"/>
      <c r="E365" s="19"/>
      <c r="F365" s="19"/>
      <c r="G365" s="19"/>
      <c r="H365" s="19"/>
      <c r="I365" s="19"/>
      <c r="J365" s="19"/>
      <c r="K365" s="19"/>
      <c r="L365" s="19"/>
      <c r="M365" s="19"/>
      <c r="N365" s="19"/>
      <c r="O365" s="19"/>
      <c r="P365" s="19"/>
      <c r="Q365" s="19"/>
      <c r="R365" s="17"/>
    </row>
    <row r="366" spans="1:18">
      <c r="A366" s="17"/>
      <c r="C366" s="19"/>
      <c r="D366" s="19"/>
      <c r="E366" s="19"/>
      <c r="F366" s="19"/>
      <c r="G366" s="19"/>
      <c r="H366" s="19"/>
      <c r="I366" s="19"/>
      <c r="J366" s="19"/>
      <c r="K366" s="19"/>
      <c r="L366" s="19"/>
      <c r="M366" s="19"/>
      <c r="N366" s="19"/>
      <c r="O366" s="19"/>
      <c r="P366" s="19"/>
      <c r="Q366" s="19"/>
      <c r="R366" s="17"/>
    </row>
    <row r="367" spans="1:18">
      <c r="A367" s="17"/>
      <c r="C367" s="19"/>
      <c r="D367" s="19"/>
      <c r="E367" s="19"/>
      <c r="F367" s="19"/>
      <c r="G367" s="19"/>
      <c r="H367" s="19"/>
      <c r="I367" s="19"/>
      <c r="J367" s="19"/>
      <c r="K367" s="19"/>
      <c r="L367" s="19"/>
      <c r="M367" s="19"/>
      <c r="N367" s="19"/>
      <c r="O367" s="19"/>
      <c r="P367" s="19"/>
      <c r="Q367" s="19"/>
      <c r="R367" s="17"/>
    </row>
    <row r="368" spans="1:18">
      <c r="A368" s="17"/>
      <c r="C368" s="19"/>
      <c r="D368" s="19"/>
      <c r="E368" s="19"/>
      <c r="F368" s="19"/>
      <c r="G368" s="19"/>
      <c r="H368" s="19"/>
      <c r="I368" s="19"/>
      <c r="J368" s="19"/>
      <c r="K368" s="19"/>
      <c r="L368" s="19"/>
      <c r="M368" s="19"/>
      <c r="N368" s="19"/>
      <c r="O368" s="19"/>
      <c r="P368" s="19"/>
      <c r="Q368" s="19"/>
      <c r="R368" s="17"/>
    </row>
    <row r="369" spans="1:18">
      <c r="A369" s="17"/>
      <c r="C369" s="19"/>
      <c r="D369" s="19"/>
      <c r="E369" s="19"/>
      <c r="F369" s="19"/>
      <c r="G369" s="19"/>
      <c r="H369" s="19"/>
      <c r="I369" s="19"/>
      <c r="J369" s="19"/>
      <c r="K369" s="19"/>
      <c r="L369" s="19"/>
      <c r="M369" s="19"/>
      <c r="N369" s="19"/>
      <c r="O369" s="19"/>
      <c r="P369" s="19"/>
      <c r="Q369" s="19"/>
      <c r="R369" s="17"/>
    </row>
    <row r="370" spans="1:18">
      <c r="A370" s="17"/>
      <c r="C370" s="19"/>
      <c r="D370" s="19"/>
      <c r="E370" s="19"/>
      <c r="F370" s="19"/>
      <c r="G370" s="19"/>
      <c r="H370" s="19"/>
      <c r="I370" s="19"/>
      <c r="J370" s="19"/>
      <c r="K370" s="19"/>
      <c r="L370" s="19"/>
      <c r="M370" s="19"/>
      <c r="N370" s="19"/>
      <c r="O370" s="19"/>
      <c r="P370" s="19"/>
      <c r="Q370" s="19"/>
      <c r="R370" s="17"/>
    </row>
    <row r="371" spans="1:18">
      <c r="A371" s="17"/>
      <c r="C371" s="19"/>
      <c r="D371" s="19"/>
      <c r="E371" s="19"/>
      <c r="F371" s="19"/>
      <c r="G371" s="19"/>
      <c r="H371" s="19"/>
      <c r="I371" s="19"/>
      <c r="J371" s="19"/>
      <c r="K371" s="19"/>
      <c r="L371" s="19"/>
      <c r="M371" s="19"/>
      <c r="N371" s="19"/>
      <c r="O371" s="19"/>
      <c r="P371" s="19"/>
      <c r="Q371" s="19"/>
      <c r="R371" s="17"/>
    </row>
    <row r="372" spans="1:18">
      <c r="A372" s="17"/>
      <c r="C372" s="19"/>
      <c r="D372" s="19"/>
      <c r="E372" s="19"/>
      <c r="F372" s="19"/>
      <c r="G372" s="19"/>
      <c r="H372" s="19"/>
      <c r="I372" s="19"/>
      <c r="J372" s="19"/>
      <c r="K372" s="19"/>
      <c r="L372" s="19"/>
      <c r="M372" s="19"/>
      <c r="N372" s="19"/>
      <c r="O372" s="19"/>
      <c r="P372" s="19"/>
      <c r="Q372" s="19"/>
      <c r="R372" s="17"/>
    </row>
    <row r="373" spans="1:18">
      <c r="A373" s="17"/>
      <c r="C373" s="19"/>
      <c r="D373" s="19"/>
      <c r="E373" s="19"/>
      <c r="F373" s="19"/>
      <c r="G373" s="19"/>
      <c r="H373" s="19"/>
      <c r="I373" s="19"/>
      <c r="J373" s="19"/>
      <c r="K373" s="19"/>
      <c r="L373" s="19"/>
      <c r="M373" s="19"/>
      <c r="N373" s="19"/>
      <c r="O373" s="19"/>
      <c r="P373" s="19"/>
      <c r="Q373" s="19"/>
      <c r="R373" s="17"/>
    </row>
    <row r="374" spans="1:18">
      <c r="A374" s="17"/>
      <c r="C374" s="19"/>
      <c r="D374" s="19"/>
      <c r="E374" s="19"/>
      <c r="F374" s="19"/>
      <c r="G374" s="19"/>
      <c r="H374" s="19"/>
      <c r="I374" s="19"/>
      <c r="J374" s="19"/>
      <c r="K374" s="19"/>
      <c r="L374" s="19"/>
      <c r="M374" s="19"/>
      <c r="N374" s="19"/>
      <c r="O374" s="19"/>
      <c r="P374" s="19"/>
      <c r="Q374" s="19"/>
      <c r="R374" s="17"/>
    </row>
    <row r="375" spans="1:18">
      <c r="A375" s="17"/>
      <c r="C375" s="19"/>
      <c r="D375" s="19"/>
      <c r="E375" s="19"/>
      <c r="F375" s="19"/>
      <c r="G375" s="19"/>
      <c r="H375" s="19"/>
      <c r="I375" s="19"/>
      <c r="J375" s="19"/>
      <c r="K375" s="19"/>
      <c r="L375" s="19"/>
      <c r="M375" s="19"/>
      <c r="N375" s="19"/>
      <c r="O375" s="19"/>
      <c r="P375" s="19"/>
      <c r="Q375" s="19"/>
      <c r="R375" s="17"/>
    </row>
    <row r="376" spans="1:18">
      <c r="A376" s="17"/>
      <c r="C376" s="19"/>
      <c r="D376" s="19"/>
      <c r="E376" s="19"/>
      <c r="F376" s="19"/>
      <c r="G376" s="19"/>
      <c r="H376" s="19"/>
      <c r="I376" s="19"/>
      <c r="J376" s="19"/>
      <c r="K376" s="19"/>
      <c r="L376" s="19"/>
      <c r="M376" s="19"/>
      <c r="N376" s="19"/>
      <c r="O376" s="19"/>
      <c r="P376" s="19"/>
      <c r="Q376" s="19"/>
      <c r="R376" s="17"/>
    </row>
    <row r="377" spans="1:18">
      <c r="A377" s="17"/>
      <c r="C377" s="19"/>
      <c r="D377" s="19"/>
      <c r="E377" s="19"/>
      <c r="F377" s="19"/>
      <c r="G377" s="19"/>
      <c r="H377" s="19"/>
      <c r="I377" s="19"/>
      <c r="J377" s="19"/>
      <c r="K377" s="19"/>
      <c r="L377" s="19"/>
      <c r="M377" s="19"/>
      <c r="N377" s="19"/>
      <c r="O377" s="19"/>
      <c r="P377" s="19"/>
      <c r="Q377" s="19"/>
      <c r="R377" s="17"/>
    </row>
    <row r="378" spans="1:18">
      <c r="A378" s="17"/>
      <c r="C378" s="19"/>
      <c r="D378" s="19"/>
      <c r="E378" s="19"/>
      <c r="F378" s="19"/>
      <c r="G378" s="19"/>
      <c r="H378" s="19"/>
      <c r="I378" s="19"/>
      <c r="J378" s="19"/>
      <c r="K378" s="19"/>
      <c r="L378" s="19"/>
      <c r="M378" s="19"/>
      <c r="N378" s="19"/>
      <c r="O378" s="19"/>
      <c r="P378" s="19"/>
      <c r="Q378" s="19"/>
      <c r="R378" s="17"/>
    </row>
    <row r="379" spans="1:18">
      <c r="A379" s="17"/>
      <c r="C379" s="19"/>
      <c r="D379" s="19"/>
      <c r="E379" s="19"/>
      <c r="F379" s="19"/>
      <c r="G379" s="19"/>
      <c r="H379" s="19"/>
      <c r="I379" s="19"/>
      <c r="J379" s="19"/>
      <c r="K379" s="19"/>
      <c r="L379" s="19"/>
      <c r="M379" s="19"/>
      <c r="N379" s="19"/>
      <c r="O379" s="19"/>
      <c r="P379" s="19"/>
      <c r="Q379" s="19"/>
      <c r="R379" s="17"/>
    </row>
    <row r="380" spans="1:18">
      <c r="A380" s="17"/>
      <c r="C380" s="19"/>
      <c r="D380" s="19"/>
      <c r="E380" s="19"/>
      <c r="F380" s="19"/>
      <c r="G380" s="19"/>
      <c r="H380" s="19"/>
      <c r="I380" s="19"/>
      <c r="J380" s="19"/>
      <c r="K380" s="19"/>
      <c r="L380" s="19"/>
      <c r="M380" s="19"/>
      <c r="N380" s="19"/>
      <c r="O380" s="19"/>
      <c r="P380" s="19"/>
      <c r="Q380" s="19"/>
      <c r="R380" s="17"/>
    </row>
    <row r="381" spans="1:18">
      <c r="A381" s="17"/>
      <c r="C381" s="19"/>
      <c r="D381" s="19"/>
      <c r="E381" s="19"/>
      <c r="F381" s="19"/>
      <c r="G381" s="19"/>
      <c r="H381" s="19"/>
      <c r="I381" s="19"/>
      <c r="J381" s="19"/>
      <c r="K381" s="19"/>
      <c r="L381" s="19"/>
      <c r="M381" s="19"/>
      <c r="N381" s="19"/>
      <c r="O381" s="19"/>
      <c r="P381" s="19"/>
      <c r="Q381" s="19"/>
      <c r="R381" s="17"/>
    </row>
    <row r="382" spans="1:18">
      <c r="A382" s="17"/>
      <c r="C382" s="19"/>
      <c r="D382" s="19"/>
      <c r="E382" s="19"/>
      <c r="F382" s="19"/>
      <c r="G382" s="19"/>
      <c r="H382" s="19"/>
      <c r="I382" s="19"/>
      <c r="J382" s="19"/>
      <c r="K382" s="19"/>
      <c r="L382" s="19"/>
      <c r="M382" s="19"/>
      <c r="N382" s="19"/>
      <c r="O382" s="19"/>
      <c r="P382" s="19"/>
      <c r="Q382" s="19"/>
      <c r="R382" s="17"/>
    </row>
    <row r="383" spans="1:18">
      <c r="A383" s="17"/>
      <c r="C383" s="19"/>
      <c r="D383" s="19"/>
      <c r="E383" s="19"/>
      <c r="F383" s="19"/>
      <c r="G383" s="19"/>
      <c r="H383" s="19"/>
      <c r="I383" s="19"/>
      <c r="J383" s="19"/>
      <c r="K383" s="19"/>
      <c r="L383" s="19"/>
      <c r="M383" s="19"/>
      <c r="N383" s="19"/>
      <c r="O383" s="19"/>
      <c r="P383" s="19"/>
      <c r="Q383" s="19"/>
      <c r="R383" s="17"/>
    </row>
    <row r="384" spans="1:18">
      <c r="A384" s="17"/>
      <c r="C384" s="19"/>
      <c r="D384" s="19"/>
      <c r="E384" s="19"/>
      <c r="F384" s="19"/>
      <c r="G384" s="19"/>
      <c r="H384" s="19"/>
      <c r="I384" s="19"/>
      <c r="J384" s="19"/>
      <c r="K384" s="19"/>
      <c r="L384" s="19"/>
      <c r="M384" s="19"/>
      <c r="N384" s="19"/>
      <c r="O384" s="19"/>
      <c r="P384" s="19"/>
      <c r="Q384" s="19"/>
      <c r="R384" s="17"/>
    </row>
    <row r="385" spans="1:18">
      <c r="A385" s="17"/>
      <c r="C385" s="19"/>
      <c r="D385" s="19"/>
      <c r="E385" s="19"/>
      <c r="F385" s="19"/>
      <c r="G385" s="19"/>
      <c r="H385" s="19"/>
      <c r="I385" s="19"/>
      <c r="J385" s="19"/>
      <c r="K385" s="19"/>
      <c r="L385" s="19"/>
      <c r="M385" s="19"/>
      <c r="N385" s="19"/>
      <c r="O385" s="19"/>
      <c r="P385" s="19"/>
      <c r="Q385" s="19"/>
      <c r="R385" s="17"/>
    </row>
    <row r="386" spans="1:18">
      <c r="A386" s="17"/>
      <c r="C386" s="19"/>
      <c r="D386" s="19"/>
      <c r="E386" s="19"/>
      <c r="F386" s="19"/>
      <c r="G386" s="19"/>
      <c r="H386" s="19"/>
      <c r="I386" s="19"/>
      <c r="J386" s="19"/>
      <c r="K386" s="19"/>
      <c r="L386" s="19"/>
      <c r="M386" s="19"/>
      <c r="N386" s="19"/>
      <c r="O386" s="19"/>
      <c r="P386" s="19"/>
      <c r="Q386" s="19"/>
      <c r="R386" s="17"/>
    </row>
    <row r="387" spans="1:18">
      <c r="A387" s="17"/>
      <c r="C387" s="19"/>
      <c r="D387" s="19"/>
      <c r="E387" s="19"/>
      <c r="F387" s="19"/>
      <c r="G387" s="19"/>
      <c r="H387" s="19"/>
      <c r="I387" s="19"/>
      <c r="J387" s="19"/>
      <c r="K387" s="19"/>
      <c r="L387" s="19"/>
      <c r="M387" s="19"/>
      <c r="N387" s="19"/>
      <c r="O387" s="19"/>
      <c r="P387" s="19"/>
      <c r="Q387" s="19"/>
      <c r="R387" s="17"/>
    </row>
    <row r="388" spans="1:18">
      <c r="A388" s="17"/>
      <c r="C388" s="19"/>
      <c r="D388" s="19"/>
      <c r="E388" s="19"/>
      <c r="F388" s="19"/>
      <c r="G388" s="19"/>
      <c r="H388" s="19"/>
      <c r="I388" s="19"/>
      <c r="J388" s="19"/>
      <c r="K388" s="19"/>
      <c r="L388" s="19"/>
      <c r="M388" s="19"/>
      <c r="N388" s="19"/>
      <c r="O388" s="19"/>
      <c r="P388" s="19"/>
      <c r="Q388" s="19"/>
      <c r="R388" s="17"/>
    </row>
    <row r="389" spans="1:18">
      <c r="A389" s="17"/>
      <c r="C389" s="19"/>
      <c r="D389" s="19"/>
      <c r="E389" s="19"/>
      <c r="F389" s="19"/>
      <c r="G389" s="19"/>
      <c r="H389" s="19"/>
      <c r="I389" s="19"/>
      <c r="J389" s="19"/>
      <c r="K389" s="19"/>
      <c r="L389" s="19"/>
      <c r="M389" s="19"/>
      <c r="N389" s="19"/>
      <c r="O389" s="19"/>
      <c r="P389" s="19"/>
      <c r="Q389" s="19"/>
      <c r="R389" s="17"/>
    </row>
    <row r="390" spans="1:18">
      <c r="A390" s="17"/>
      <c r="C390" s="19"/>
      <c r="D390" s="19"/>
      <c r="E390" s="19"/>
      <c r="F390" s="19"/>
      <c r="G390" s="19"/>
      <c r="H390" s="19"/>
      <c r="I390" s="19"/>
      <c r="J390" s="19"/>
      <c r="K390" s="19"/>
      <c r="L390" s="19"/>
      <c r="M390" s="19"/>
      <c r="N390" s="19"/>
      <c r="O390" s="19"/>
      <c r="P390" s="19"/>
      <c r="Q390" s="19"/>
      <c r="R390" s="17"/>
    </row>
    <row r="391" spans="1:18">
      <c r="A391" s="17"/>
      <c r="C391" s="19"/>
      <c r="D391" s="19"/>
      <c r="E391" s="19"/>
      <c r="F391" s="19"/>
      <c r="G391" s="19"/>
      <c r="H391" s="19"/>
      <c r="I391" s="19"/>
      <c r="J391" s="19"/>
      <c r="K391" s="19"/>
      <c r="L391" s="19"/>
      <c r="M391" s="19"/>
      <c r="N391" s="19"/>
      <c r="O391" s="19"/>
      <c r="P391" s="19"/>
      <c r="Q391" s="19"/>
      <c r="R391" s="17"/>
    </row>
    <row r="392" spans="1:18">
      <c r="A392" s="17"/>
      <c r="C392" s="19"/>
      <c r="D392" s="19"/>
      <c r="E392" s="19"/>
      <c r="F392" s="19"/>
      <c r="G392" s="19"/>
      <c r="H392" s="19"/>
      <c r="I392" s="19"/>
      <c r="J392" s="19"/>
      <c r="K392" s="19"/>
      <c r="L392" s="19"/>
      <c r="M392" s="19"/>
      <c r="N392" s="19"/>
      <c r="O392" s="19"/>
      <c r="P392" s="19"/>
      <c r="Q392" s="19"/>
      <c r="R392" s="17"/>
    </row>
    <row r="393" spans="1:18">
      <c r="A393" s="17"/>
      <c r="C393" s="19"/>
      <c r="D393" s="19"/>
      <c r="E393" s="19"/>
      <c r="F393" s="19"/>
      <c r="G393" s="19"/>
      <c r="H393" s="19"/>
      <c r="I393" s="19"/>
      <c r="J393" s="19"/>
      <c r="K393" s="19"/>
      <c r="L393" s="19"/>
      <c r="M393" s="19"/>
      <c r="N393" s="19"/>
      <c r="O393" s="19"/>
      <c r="P393" s="19"/>
      <c r="Q393" s="19"/>
      <c r="R393" s="17"/>
    </row>
    <row r="394" spans="1:18">
      <c r="A394" s="17"/>
      <c r="C394" s="19"/>
      <c r="D394" s="19"/>
      <c r="E394" s="19"/>
      <c r="F394" s="19"/>
      <c r="G394" s="19"/>
      <c r="H394" s="19"/>
      <c r="I394" s="19"/>
      <c r="J394" s="19"/>
      <c r="K394" s="19"/>
      <c r="L394" s="19"/>
      <c r="M394" s="19"/>
      <c r="N394" s="19"/>
      <c r="O394" s="19"/>
      <c r="P394" s="19"/>
      <c r="Q394" s="19"/>
      <c r="R394" s="17"/>
    </row>
    <row r="395" spans="1:18">
      <c r="A395" s="17"/>
      <c r="C395" s="19"/>
      <c r="D395" s="19"/>
      <c r="E395" s="19"/>
      <c r="F395" s="19"/>
      <c r="G395" s="19"/>
      <c r="H395" s="19"/>
      <c r="I395" s="19"/>
      <c r="J395" s="19"/>
      <c r="K395" s="19"/>
      <c r="L395" s="19"/>
      <c r="M395" s="19"/>
      <c r="N395" s="19"/>
      <c r="O395" s="19"/>
      <c r="P395" s="19"/>
      <c r="Q395" s="19"/>
      <c r="R395" s="17"/>
    </row>
    <row r="396" spans="1:18">
      <c r="A396" s="17"/>
      <c r="C396" s="19"/>
      <c r="D396" s="19"/>
      <c r="E396" s="19"/>
      <c r="F396" s="19"/>
      <c r="G396" s="19"/>
      <c r="H396" s="19"/>
      <c r="I396" s="19"/>
      <c r="J396" s="19"/>
      <c r="K396" s="19"/>
      <c r="L396" s="19"/>
      <c r="M396" s="19"/>
      <c r="N396" s="19"/>
      <c r="O396" s="19"/>
      <c r="P396" s="19"/>
      <c r="Q396" s="19"/>
      <c r="R396" s="17"/>
    </row>
    <row r="397" spans="1:18">
      <c r="A397" s="17"/>
      <c r="C397" s="19"/>
      <c r="D397" s="19"/>
      <c r="E397" s="19"/>
      <c r="F397" s="19"/>
      <c r="G397" s="19"/>
      <c r="H397" s="19"/>
      <c r="I397" s="19"/>
      <c r="J397" s="19"/>
      <c r="K397" s="19"/>
      <c r="L397" s="19"/>
      <c r="M397" s="19"/>
      <c r="N397" s="19"/>
      <c r="O397" s="19"/>
      <c r="P397" s="19"/>
      <c r="Q397" s="19"/>
      <c r="R397" s="17"/>
    </row>
    <row r="398" spans="1:18">
      <c r="A398" s="17"/>
      <c r="C398" s="19"/>
      <c r="D398" s="19"/>
      <c r="E398" s="19"/>
      <c r="F398" s="19"/>
      <c r="G398" s="19"/>
      <c r="H398" s="19"/>
      <c r="I398" s="19"/>
      <c r="J398" s="19"/>
      <c r="K398" s="19"/>
      <c r="L398" s="19"/>
      <c r="M398" s="19"/>
      <c r="N398" s="19"/>
      <c r="O398" s="19"/>
      <c r="P398" s="19"/>
      <c r="Q398" s="19"/>
      <c r="R398" s="17"/>
    </row>
    <row r="399" spans="1:18">
      <c r="A399" s="17"/>
      <c r="C399" s="19"/>
      <c r="D399" s="19"/>
      <c r="E399" s="19"/>
      <c r="F399" s="19"/>
      <c r="G399" s="19"/>
      <c r="H399" s="19"/>
      <c r="I399" s="19"/>
      <c r="J399" s="19"/>
      <c r="K399" s="19"/>
      <c r="L399" s="19"/>
      <c r="M399" s="19"/>
      <c r="N399" s="19"/>
      <c r="O399" s="19"/>
      <c r="P399" s="19"/>
      <c r="Q399" s="19"/>
      <c r="R399" s="17"/>
    </row>
    <row r="400" spans="1:18">
      <c r="A400" s="17"/>
      <c r="C400" s="19"/>
      <c r="D400" s="19"/>
      <c r="E400" s="19"/>
      <c r="F400" s="19"/>
      <c r="G400" s="19"/>
      <c r="H400" s="19"/>
      <c r="I400" s="19"/>
      <c r="J400" s="19"/>
      <c r="K400" s="19"/>
      <c r="L400" s="19"/>
      <c r="M400" s="19"/>
      <c r="N400" s="19"/>
      <c r="O400" s="19"/>
      <c r="P400" s="19"/>
      <c r="Q400" s="19"/>
      <c r="R400" s="17"/>
    </row>
    <row r="401" spans="1:18">
      <c r="A401" s="17"/>
      <c r="C401" s="19"/>
      <c r="D401" s="19"/>
      <c r="E401" s="19"/>
      <c r="F401" s="19"/>
      <c r="G401" s="19"/>
      <c r="H401" s="19"/>
      <c r="I401" s="19"/>
      <c r="J401" s="19"/>
      <c r="K401" s="19"/>
      <c r="L401" s="19"/>
      <c r="M401" s="19"/>
      <c r="N401" s="19"/>
      <c r="O401" s="19"/>
      <c r="P401" s="19"/>
      <c r="Q401" s="19"/>
      <c r="R401" s="17"/>
    </row>
    <row r="402" spans="1:18">
      <c r="A402" s="17"/>
      <c r="C402" s="19"/>
      <c r="D402" s="19"/>
      <c r="E402" s="19"/>
      <c r="F402" s="19"/>
      <c r="G402" s="19"/>
      <c r="H402" s="19"/>
      <c r="I402" s="19"/>
      <c r="J402" s="19"/>
      <c r="K402" s="19"/>
      <c r="L402" s="19"/>
      <c r="M402" s="19"/>
      <c r="N402" s="19"/>
      <c r="O402" s="19"/>
      <c r="P402" s="19"/>
      <c r="Q402" s="19"/>
      <c r="R402" s="17"/>
    </row>
    <row r="403" spans="1:18">
      <c r="A403" s="17"/>
      <c r="C403" s="19"/>
      <c r="D403" s="19"/>
      <c r="E403" s="19"/>
      <c r="F403" s="19"/>
      <c r="G403" s="19"/>
      <c r="H403" s="19"/>
      <c r="I403" s="19"/>
      <c r="J403" s="19"/>
      <c r="K403" s="19"/>
      <c r="L403" s="19"/>
      <c r="M403" s="19"/>
      <c r="N403" s="19"/>
      <c r="O403" s="19"/>
      <c r="P403" s="19"/>
      <c r="Q403" s="19"/>
      <c r="R403" s="17"/>
    </row>
    <row r="404" spans="1:18">
      <c r="A404" s="17"/>
      <c r="C404" s="19"/>
      <c r="D404" s="19"/>
      <c r="E404" s="19"/>
      <c r="F404" s="19"/>
      <c r="G404" s="19"/>
      <c r="H404" s="19"/>
      <c r="I404" s="19"/>
      <c r="J404" s="19"/>
      <c r="K404" s="19"/>
      <c r="L404" s="19"/>
      <c r="M404" s="19"/>
      <c r="N404" s="19"/>
      <c r="O404" s="19"/>
      <c r="P404" s="19"/>
      <c r="Q404" s="19"/>
      <c r="R404" s="17"/>
    </row>
    <row r="405" spans="1:18">
      <c r="A405" s="17"/>
      <c r="C405" s="19"/>
      <c r="D405" s="19"/>
      <c r="E405" s="19"/>
      <c r="F405" s="19"/>
      <c r="G405" s="19"/>
      <c r="H405" s="19"/>
      <c r="I405" s="19"/>
      <c r="J405" s="19"/>
      <c r="K405" s="19"/>
      <c r="L405" s="19"/>
      <c r="M405" s="19"/>
      <c r="N405" s="19"/>
      <c r="O405" s="19"/>
      <c r="P405" s="19"/>
      <c r="Q405" s="19"/>
      <c r="R405" s="17"/>
    </row>
    <row r="406" spans="1:18">
      <c r="A406" s="17"/>
      <c r="C406" s="19"/>
      <c r="D406" s="19"/>
      <c r="E406" s="19"/>
      <c r="F406" s="19"/>
      <c r="G406" s="19"/>
      <c r="H406" s="19"/>
      <c r="I406" s="19"/>
      <c r="J406" s="19"/>
      <c r="K406" s="19"/>
      <c r="L406" s="19"/>
      <c r="M406" s="19"/>
      <c r="N406" s="19"/>
      <c r="O406" s="19"/>
      <c r="P406" s="19"/>
      <c r="Q406" s="19"/>
      <c r="R406" s="17"/>
    </row>
    <row r="407" spans="1:18">
      <c r="A407" s="17"/>
      <c r="C407" s="19"/>
      <c r="D407" s="19"/>
      <c r="E407" s="19"/>
      <c r="F407" s="19"/>
      <c r="G407" s="19"/>
      <c r="H407" s="19"/>
      <c r="I407" s="19"/>
      <c r="J407" s="19"/>
      <c r="K407" s="19"/>
      <c r="L407" s="19"/>
      <c r="M407" s="19"/>
      <c r="N407" s="19"/>
      <c r="O407" s="19"/>
      <c r="P407" s="19"/>
      <c r="Q407" s="19"/>
      <c r="R407" s="17"/>
    </row>
    <row r="408" spans="1:18">
      <c r="A408" s="17"/>
      <c r="C408" s="19"/>
      <c r="D408" s="19"/>
      <c r="E408" s="19"/>
      <c r="F408" s="19"/>
      <c r="G408" s="19"/>
      <c r="H408" s="19"/>
      <c r="I408" s="19"/>
      <c r="J408" s="19"/>
      <c r="K408" s="19"/>
      <c r="L408" s="19"/>
      <c r="M408" s="19"/>
      <c r="N408" s="19"/>
      <c r="O408" s="19"/>
      <c r="P408" s="19"/>
      <c r="Q408" s="19"/>
      <c r="R408" s="17"/>
    </row>
    <row r="409" spans="1:18">
      <c r="A409" s="17"/>
      <c r="C409" s="19"/>
      <c r="D409" s="19"/>
      <c r="E409" s="19"/>
      <c r="F409" s="19"/>
      <c r="G409" s="19"/>
      <c r="H409" s="19"/>
      <c r="I409" s="19"/>
      <c r="J409" s="19"/>
      <c r="K409" s="19"/>
      <c r="L409" s="19"/>
      <c r="M409" s="19"/>
      <c r="N409" s="19"/>
      <c r="O409" s="19"/>
      <c r="P409" s="19"/>
      <c r="Q409" s="19"/>
      <c r="R409" s="17"/>
    </row>
    <row r="410" spans="1:18">
      <c r="A410" s="17"/>
      <c r="C410" s="19"/>
      <c r="D410" s="19"/>
      <c r="E410" s="19"/>
      <c r="F410" s="19"/>
      <c r="G410" s="19"/>
      <c r="H410" s="19"/>
      <c r="I410" s="19"/>
      <c r="J410" s="19"/>
      <c r="K410" s="19"/>
      <c r="L410" s="19"/>
      <c r="M410" s="19"/>
      <c r="N410" s="19"/>
      <c r="O410" s="19"/>
      <c r="P410" s="19"/>
      <c r="Q410" s="19"/>
      <c r="R410" s="17"/>
    </row>
    <row r="411" spans="1:18">
      <c r="A411" s="17"/>
      <c r="C411" s="19"/>
      <c r="D411" s="19"/>
      <c r="E411" s="19"/>
      <c r="F411" s="19"/>
      <c r="G411" s="19"/>
      <c r="H411" s="19"/>
      <c r="I411" s="19"/>
      <c r="J411" s="19"/>
      <c r="K411" s="19"/>
      <c r="L411" s="19"/>
      <c r="M411" s="19"/>
      <c r="N411" s="19"/>
      <c r="O411" s="19"/>
      <c r="P411" s="19"/>
      <c r="Q411" s="19"/>
      <c r="R411" s="17"/>
    </row>
    <row r="412" spans="1:18">
      <c r="A412" s="17"/>
      <c r="C412" s="19"/>
      <c r="D412" s="19"/>
      <c r="E412" s="19"/>
      <c r="F412" s="19"/>
      <c r="G412" s="19"/>
      <c r="H412" s="19"/>
      <c r="I412" s="19"/>
      <c r="J412" s="19"/>
      <c r="K412" s="19"/>
      <c r="L412" s="19"/>
      <c r="M412" s="19"/>
      <c r="N412" s="19"/>
      <c r="O412" s="19"/>
      <c r="P412" s="19"/>
      <c r="Q412" s="19"/>
      <c r="R412" s="17"/>
    </row>
    <row r="413" spans="1:18">
      <c r="A413" s="17"/>
      <c r="C413" s="19"/>
      <c r="D413" s="19"/>
      <c r="E413" s="19"/>
      <c r="F413" s="19"/>
      <c r="G413" s="19"/>
      <c r="H413" s="19"/>
      <c r="I413" s="19"/>
      <c r="J413" s="19"/>
      <c r="K413" s="19"/>
      <c r="L413" s="19"/>
      <c r="M413" s="19"/>
      <c r="N413" s="19"/>
      <c r="O413" s="19"/>
      <c r="P413" s="19"/>
      <c r="Q413" s="19"/>
      <c r="R413" s="17"/>
    </row>
    <row r="414" spans="1:18">
      <c r="A414" s="17"/>
      <c r="C414" s="19"/>
      <c r="D414" s="19"/>
      <c r="E414" s="19"/>
      <c r="F414" s="19"/>
      <c r="G414" s="19"/>
      <c r="H414" s="19"/>
      <c r="I414" s="19"/>
      <c r="J414" s="19"/>
      <c r="K414" s="19"/>
      <c r="L414" s="19"/>
      <c r="M414" s="19"/>
      <c r="N414" s="19"/>
      <c r="O414" s="19"/>
      <c r="P414" s="19"/>
      <c r="Q414" s="19"/>
      <c r="R414" s="17"/>
    </row>
    <row r="415" spans="1:18">
      <c r="A415" s="17"/>
      <c r="C415" s="19"/>
      <c r="D415" s="19"/>
      <c r="E415" s="19"/>
      <c r="F415" s="19"/>
      <c r="G415" s="19"/>
      <c r="H415" s="19"/>
      <c r="I415" s="19"/>
      <c r="J415" s="19"/>
      <c r="K415" s="19"/>
      <c r="L415" s="19"/>
      <c r="M415" s="19"/>
      <c r="N415" s="19"/>
      <c r="O415" s="19"/>
      <c r="P415" s="19"/>
      <c r="Q415" s="19"/>
      <c r="R415" s="17"/>
    </row>
    <row r="416" spans="1:18">
      <c r="A416" s="17"/>
      <c r="C416" s="19"/>
      <c r="D416" s="19"/>
      <c r="E416" s="19"/>
      <c r="F416" s="19"/>
      <c r="G416" s="19"/>
      <c r="H416" s="19"/>
      <c r="I416" s="19"/>
      <c r="J416" s="19"/>
      <c r="K416" s="19"/>
      <c r="L416" s="19"/>
      <c r="M416" s="19"/>
      <c r="N416" s="19"/>
      <c r="O416" s="19"/>
      <c r="P416" s="19"/>
      <c r="Q416" s="19"/>
      <c r="R416" s="17"/>
    </row>
    <row r="417" spans="1:18">
      <c r="A417" s="17"/>
      <c r="C417" s="19"/>
      <c r="D417" s="19"/>
      <c r="E417" s="19"/>
      <c r="F417" s="19"/>
      <c r="G417" s="19"/>
      <c r="H417" s="19"/>
      <c r="I417" s="19"/>
      <c r="J417" s="19"/>
      <c r="K417" s="19"/>
      <c r="L417" s="19"/>
      <c r="M417" s="19"/>
      <c r="N417" s="19"/>
      <c r="O417" s="19"/>
      <c r="P417" s="19"/>
      <c r="Q417" s="19"/>
      <c r="R417" s="17"/>
    </row>
    <row r="418" spans="1:18">
      <c r="A418" s="17"/>
      <c r="C418" s="19"/>
      <c r="D418" s="19"/>
      <c r="E418" s="19"/>
      <c r="F418" s="19"/>
      <c r="G418" s="19"/>
      <c r="H418" s="19"/>
      <c r="I418" s="19"/>
      <c r="J418" s="19"/>
      <c r="K418" s="19"/>
      <c r="L418" s="19"/>
      <c r="M418" s="19"/>
      <c r="N418" s="19"/>
      <c r="O418" s="19"/>
      <c r="P418" s="19"/>
      <c r="Q418" s="19"/>
      <c r="R418" s="17"/>
    </row>
    <row r="419" spans="1:18">
      <c r="A419" s="17"/>
      <c r="C419" s="19"/>
      <c r="D419" s="19"/>
      <c r="E419" s="19"/>
      <c r="F419" s="19"/>
      <c r="G419" s="19"/>
      <c r="H419" s="19"/>
      <c r="I419" s="19"/>
      <c r="J419" s="19"/>
      <c r="K419" s="19"/>
      <c r="L419" s="19"/>
      <c r="M419" s="19"/>
      <c r="N419" s="19"/>
      <c r="O419" s="19"/>
      <c r="P419" s="19"/>
      <c r="Q419" s="19"/>
      <c r="R419" s="17"/>
    </row>
    <row r="420" spans="1:18">
      <c r="A420" s="17"/>
      <c r="C420" s="19"/>
      <c r="D420" s="19"/>
      <c r="E420" s="19"/>
      <c r="F420" s="19"/>
      <c r="G420" s="19"/>
      <c r="H420" s="19"/>
      <c r="I420" s="19"/>
      <c r="J420" s="19"/>
      <c r="K420" s="19"/>
      <c r="L420" s="19"/>
      <c r="M420" s="19"/>
      <c r="N420" s="19"/>
      <c r="O420" s="19"/>
      <c r="P420" s="19"/>
      <c r="Q420" s="19"/>
      <c r="R420" s="17"/>
    </row>
    <row r="421" spans="1:18">
      <c r="A421" s="17"/>
      <c r="C421" s="19"/>
      <c r="D421" s="19"/>
      <c r="E421" s="19"/>
      <c r="F421" s="19"/>
      <c r="G421" s="19"/>
      <c r="H421" s="19"/>
      <c r="I421" s="19"/>
      <c r="J421" s="19"/>
      <c r="K421" s="19"/>
      <c r="L421" s="19"/>
      <c r="M421" s="19"/>
      <c r="N421" s="19"/>
      <c r="O421" s="19"/>
      <c r="P421" s="19"/>
      <c r="Q421" s="19"/>
      <c r="R421" s="17"/>
    </row>
    <row r="422" spans="1:18">
      <c r="A422" s="17"/>
      <c r="C422" s="19"/>
      <c r="D422" s="19"/>
      <c r="E422" s="19"/>
      <c r="F422" s="19"/>
      <c r="G422" s="19"/>
      <c r="H422" s="19"/>
      <c r="I422" s="19"/>
      <c r="J422" s="19"/>
      <c r="K422" s="19"/>
      <c r="L422" s="19"/>
      <c r="M422" s="19"/>
      <c r="N422" s="19"/>
      <c r="O422" s="19"/>
      <c r="P422" s="19"/>
      <c r="Q422" s="19"/>
      <c r="R422" s="17"/>
    </row>
    <row r="423" spans="1:18">
      <c r="A423" s="17"/>
      <c r="C423" s="19"/>
      <c r="D423" s="19"/>
      <c r="E423" s="19"/>
      <c r="F423" s="19"/>
      <c r="G423" s="19"/>
      <c r="H423" s="19"/>
      <c r="I423" s="19"/>
      <c r="J423" s="19"/>
      <c r="K423" s="19"/>
      <c r="L423" s="19"/>
      <c r="M423" s="19"/>
      <c r="N423" s="19"/>
      <c r="O423" s="19"/>
      <c r="P423" s="19"/>
      <c r="Q423" s="19"/>
      <c r="R423" s="17"/>
    </row>
    <row r="424" spans="1:18">
      <c r="A424" s="17"/>
      <c r="C424" s="19"/>
      <c r="D424" s="19"/>
      <c r="E424" s="19"/>
      <c r="F424" s="19"/>
      <c r="G424" s="19"/>
      <c r="H424" s="19"/>
      <c r="I424" s="19"/>
      <c r="J424" s="19"/>
      <c r="K424" s="19"/>
      <c r="L424" s="19"/>
      <c r="M424" s="19"/>
      <c r="N424" s="19"/>
      <c r="O424" s="19"/>
      <c r="P424" s="19"/>
      <c r="Q424" s="19"/>
      <c r="R424" s="17"/>
    </row>
    <row r="425" spans="1:18">
      <c r="A425" s="17"/>
      <c r="C425" s="19"/>
      <c r="D425" s="19"/>
      <c r="E425" s="19"/>
      <c r="F425" s="19"/>
      <c r="G425" s="19"/>
      <c r="H425" s="19"/>
      <c r="I425" s="19"/>
      <c r="J425" s="19"/>
      <c r="K425" s="19"/>
      <c r="L425" s="19"/>
      <c r="M425" s="19"/>
      <c r="N425" s="19"/>
      <c r="O425" s="19"/>
      <c r="P425" s="19"/>
      <c r="Q425" s="19"/>
      <c r="R425" s="17"/>
    </row>
    <row r="426" spans="1:18">
      <c r="A426" s="17"/>
      <c r="C426" s="19"/>
      <c r="D426" s="19"/>
      <c r="E426" s="19"/>
      <c r="F426" s="19"/>
      <c r="G426" s="19"/>
      <c r="H426" s="19"/>
      <c r="I426" s="19"/>
      <c r="J426" s="19"/>
      <c r="K426" s="19"/>
      <c r="L426" s="19"/>
      <c r="M426" s="19"/>
      <c r="N426" s="19"/>
      <c r="O426" s="19"/>
      <c r="P426" s="19"/>
      <c r="Q426" s="19"/>
      <c r="R426" s="17"/>
    </row>
    <row r="427" spans="1:18">
      <c r="A427" s="17"/>
      <c r="C427" s="19"/>
      <c r="D427" s="19"/>
      <c r="E427" s="19"/>
      <c r="F427" s="19"/>
      <c r="G427" s="19"/>
      <c r="H427" s="19"/>
      <c r="I427" s="19"/>
      <c r="J427" s="19"/>
      <c r="K427" s="19"/>
      <c r="L427" s="19"/>
      <c r="M427" s="19"/>
      <c r="N427" s="19"/>
      <c r="O427" s="19"/>
      <c r="P427" s="19"/>
      <c r="Q427" s="19"/>
      <c r="R427" s="17"/>
    </row>
    <row r="428" spans="1:18">
      <c r="A428" s="17"/>
      <c r="C428" s="19"/>
      <c r="D428" s="19"/>
      <c r="E428" s="19"/>
      <c r="F428" s="19"/>
      <c r="G428" s="19"/>
      <c r="H428" s="19"/>
      <c r="I428" s="19"/>
      <c r="J428" s="19"/>
      <c r="K428" s="19"/>
      <c r="L428" s="19"/>
      <c r="M428" s="19"/>
      <c r="N428" s="19"/>
      <c r="O428" s="19"/>
      <c r="P428" s="19"/>
      <c r="Q428" s="19"/>
      <c r="R428" s="17"/>
    </row>
    <row r="429" spans="1:18">
      <c r="A429" s="17"/>
      <c r="C429" s="19"/>
      <c r="D429" s="19"/>
      <c r="E429" s="19"/>
      <c r="F429" s="19"/>
      <c r="G429" s="19"/>
      <c r="H429" s="19"/>
      <c r="I429" s="19"/>
      <c r="J429" s="19"/>
      <c r="K429" s="19"/>
      <c r="L429" s="19"/>
      <c r="M429" s="19"/>
      <c r="N429" s="19"/>
      <c r="O429" s="19"/>
      <c r="P429" s="19"/>
      <c r="Q429" s="19"/>
      <c r="R429" s="17"/>
    </row>
    <row r="430" spans="1:18">
      <c r="A430" s="17"/>
      <c r="C430" s="19"/>
      <c r="D430" s="19"/>
      <c r="E430" s="19"/>
      <c r="F430" s="19"/>
      <c r="G430" s="19"/>
      <c r="H430" s="19"/>
      <c r="I430" s="19"/>
      <c r="J430" s="19"/>
      <c r="K430" s="19"/>
      <c r="L430" s="19"/>
      <c r="M430" s="19"/>
      <c r="N430" s="19"/>
      <c r="O430" s="19"/>
      <c r="P430" s="19"/>
      <c r="Q430" s="19"/>
      <c r="R430" s="17"/>
    </row>
    <row r="431" spans="1:18">
      <c r="A431" s="17"/>
      <c r="C431" s="19"/>
      <c r="D431" s="19"/>
      <c r="E431" s="19"/>
      <c r="F431" s="19"/>
      <c r="G431" s="19"/>
      <c r="H431" s="19"/>
      <c r="I431" s="19"/>
      <c r="J431" s="19"/>
      <c r="K431" s="19"/>
      <c r="L431" s="19"/>
      <c r="M431" s="19"/>
      <c r="N431" s="19"/>
      <c r="O431" s="19"/>
      <c r="P431" s="19"/>
      <c r="Q431" s="19"/>
      <c r="R431" s="17"/>
    </row>
    <row r="432" spans="1:18">
      <c r="A432" s="17"/>
      <c r="C432" s="19"/>
      <c r="D432" s="19"/>
      <c r="E432" s="19"/>
      <c r="F432" s="19"/>
      <c r="G432" s="19"/>
      <c r="H432" s="19"/>
      <c r="I432" s="19"/>
      <c r="J432" s="19"/>
      <c r="K432" s="19"/>
      <c r="L432" s="19"/>
      <c r="M432" s="19"/>
      <c r="N432" s="19"/>
      <c r="O432" s="19"/>
      <c r="P432" s="19"/>
      <c r="Q432" s="19"/>
      <c r="R432" s="17"/>
    </row>
    <row r="433" spans="1:18">
      <c r="A433" s="17"/>
      <c r="C433" s="19"/>
      <c r="D433" s="19"/>
      <c r="E433" s="19"/>
      <c r="F433" s="19"/>
      <c r="G433" s="19"/>
      <c r="H433" s="19"/>
      <c r="I433" s="19"/>
      <c r="J433" s="19"/>
      <c r="K433" s="19"/>
      <c r="L433" s="19"/>
      <c r="M433" s="19"/>
      <c r="N433" s="19"/>
      <c r="O433" s="19"/>
      <c r="P433" s="19"/>
      <c r="Q433" s="19"/>
      <c r="R433" s="17"/>
    </row>
    <row r="434" spans="1:18">
      <c r="A434" s="17"/>
      <c r="C434" s="19"/>
      <c r="D434" s="19"/>
      <c r="E434" s="19"/>
      <c r="F434" s="19"/>
      <c r="G434" s="19"/>
      <c r="H434" s="19"/>
      <c r="I434" s="19"/>
      <c r="J434" s="19"/>
      <c r="K434" s="19"/>
      <c r="L434" s="19"/>
      <c r="M434" s="19"/>
      <c r="N434" s="19"/>
      <c r="O434" s="19"/>
      <c r="P434" s="19"/>
      <c r="Q434" s="19"/>
      <c r="R434" s="17"/>
    </row>
    <row r="435" spans="1:18">
      <c r="A435" s="17"/>
      <c r="C435" s="19"/>
      <c r="D435" s="19"/>
      <c r="E435" s="19"/>
      <c r="F435" s="19"/>
      <c r="G435" s="19"/>
      <c r="H435" s="19"/>
      <c r="I435" s="19"/>
      <c r="J435" s="19"/>
      <c r="K435" s="19"/>
      <c r="L435" s="19"/>
      <c r="M435" s="19"/>
      <c r="N435" s="19"/>
      <c r="O435" s="19"/>
      <c r="P435" s="19"/>
      <c r="Q435" s="19"/>
      <c r="R435" s="17"/>
    </row>
    <row r="436" spans="1:18">
      <c r="A436" s="17"/>
      <c r="C436" s="19"/>
      <c r="D436" s="19"/>
      <c r="E436" s="19"/>
      <c r="F436" s="19"/>
      <c r="G436" s="19"/>
      <c r="H436" s="19"/>
      <c r="I436" s="19"/>
      <c r="J436" s="19"/>
      <c r="K436" s="19"/>
      <c r="L436" s="19"/>
      <c r="M436" s="19"/>
      <c r="N436" s="19"/>
      <c r="O436" s="19"/>
      <c r="P436" s="19"/>
      <c r="Q436" s="19"/>
      <c r="R436" s="17"/>
    </row>
    <row r="437" spans="1:18">
      <c r="A437" s="17"/>
      <c r="C437" s="19"/>
      <c r="D437" s="19"/>
      <c r="E437" s="19"/>
      <c r="F437" s="19"/>
      <c r="G437" s="19"/>
      <c r="H437" s="19"/>
      <c r="I437" s="19"/>
      <c r="J437" s="19"/>
      <c r="K437" s="19"/>
      <c r="L437" s="19"/>
      <c r="M437" s="19"/>
      <c r="N437" s="19"/>
      <c r="O437" s="19"/>
      <c r="P437" s="19"/>
      <c r="Q437" s="19"/>
      <c r="R437" s="17"/>
    </row>
    <row r="438" spans="1:18">
      <c r="A438" s="17"/>
      <c r="C438" s="19"/>
      <c r="D438" s="19"/>
      <c r="E438" s="19"/>
      <c r="F438" s="19"/>
      <c r="G438" s="19"/>
      <c r="H438" s="19"/>
      <c r="I438" s="19"/>
      <c r="J438" s="19"/>
      <c r="K438" s="19"/>
      <c r="L438" s="19"/>
      <c r="M438" s="19"/>
      <c r="N438" s="19"/>
      <c r="O438" s="19"/>
      <c r="P438" s="19"/>
      <c r="Q438" s="19"/>
      <c r="R438" s="17"/>
    </row>
    <row r="439" spans="1:18">
      <c r="A439" s="17"/>
      <c r="C439" s="19"/>
      <c r="D439" s="19"/>
      <c r="E439" s="19"/>
      <c r="F439" s="19"/>
      <c r="G439" s="19"/>
      <c r="H439" s="19"/>
      <c r="I439" s="19"/>
      <c r="J439" s="19"/>
      <c r="K439" s="19"/>
      <c r="L439" s="19"/>
      <c r="M439" s="19"/>
      <c r="N439" s="19"/>
      <c r="O439" s="19"/>
      <c r="P439" s="19"/>
      <c r="Q439" s="19"/>
      <c r="R439" s="17"/>
    </row>
    <row r="440" spans="1:18">
      <c r="A440" s="17"/>
      <c r="C440" s="19"/>
      <c r="D440" s="19"/>
      <c r="E440" s="19"/>
      <c r="F440" s="19"/>
      <c r="G440" s="19"/>
      <c r="H440" s="19"/>
      <c r="I440" s="19"/>
      <c r="J440" s="19"/>
      <c r="K440" s="19"/>
      <c r="L440" s="19"/>
      <c r="M440" s="19"/>
      <c r="N440" s="19"/>
      <c r="O440" s="19"/>
      <c r="P440" s="19"/>
      <c r="Q440" s="19"/>
      <c r="R440" s="17"/>
    </row>
    <row r="441" spans="1:18">
      <c r="A441" s="17"/>
      <c r="C441" s="19"/>
      <c r="D441" s="19"/>
      <c r="E441" s="19"/>
      <c r="F441" s="19"/>
      <c r="G441" s="19"/>
      <c r="H441" s="19"/>
      <c r="I441" s="19"/>
      <c r="J441" s="19"/>
      <c r="K441" s="19"/>
      <c r="L441" s="19"/>
      <c r="M441" s="19"/>
      <c r="N441" s="19"/>
      <c r="O441" s="19"/>
      <c r="P441" s="19"/>
      <c r="Q441" s="19"/>
      <c r="R441" s="17"/>
    </row>
    <row r="442" spans="1:18">
      <c r="A442" s="17"/>
      <c r="C442" s="19"/>
      <c r="D442" s="19"/>
      <c r="E442" s="19"/>
      <c r="F442" s="19"/>
      <c r="G442" s="19"/>
      <c r="H442" s="19"/>
      <c r="I442" s="19"/>
      <c r="J442" s="19"/>
      <c r="K442" s="19"/>
      <c r="L442" s="19"/>
      <c r="M442" s="19"/>
      <c r="N442" s="19"/>
      <c r="O442" s="19"/>
      <c r="P442" s="19"/>
      <c r="Q442" s="19"/>
      <c r="R442" s="17"/>
    </row>
    <row r="443" spans="1:18">
      <c r="A443" s="17"/>
      <c r="C443" s="19"/>
      <c r="D443" s="19"/>
      <c r="E443" s="19"/>
      <c r="F443" s="19"/>
      <c r="G443" s="19"/>
      <c r="H443" s="19"/>
      <c r="I443" s="19"/>
      <c r="J443" s="19"/>
      <c r="K443" s="19"/>
      <c r="L443" s="19"/>
      <c r="M443" s="19"/>
      <c r="N443" s="19"/>
      <c r="O443" s="19"/>
      <c r="P443" s="19"/>
      <c r="Q443" s="19"/>
      <c r="R443" s="17"/>
    </row>
    <row r="444" spans="1:18">
      <c r="A444" s="17"/>
      <c r="C444" s="19"/>
      <c r="D444" s="19"/>
      <c r="E444" s="19"/>
      <c r="F444" s="19"/>
      <c r="G444" s="19"/>
      <c r="H444" s="19"/>
      <c r="I444" s="19"/>
      <c r="J444" s="19"/>
      <c r="K444" s="19"/>
      <c r="L444" s="19"/>
      <c r="M444" s="19"/>
      <c r="N444" s="19"/>
      <c r="O444" s="19"/>
      <c r="P444" s="19"/>
      <c r="Q444" s="19"/>
      <c r="R444" s="17"/>
    </row>
    <row r="445" spans="1:18">
      <c r="A445" s="17"/>
      <c r="C445" s="19"/>
      <c r="D445" s="19"/>
      <c r="E445" s="19"/>
      <c r="F445" s="19"/>
      <c r="G445" s="19"/>
      <c r="H445" s="19"/>
      <c r="I445" s="19"/>
      <c r="J445" s="19"/>
      <c r="K445" s="19"/>
      <c r="L445" s="19"/>
      <c r="M445" s="19"/>
      <c r="N445" s="19"/>
      <c r="O445" s="19"/>
      <c r="P445" s="19"/>
      <c r="Q445" s="19"/>
      <c r="R445" s="17"/>
    </row>
    <row r="446" spans="1:18">
      <c r="A446" s="17"/>
      <c r="C446" s="19"/>
      <c r="D446" s="19"/>
      <c r="E446" s="19"/>
      <c r="F446" s="19"/>
      <c r="G446" s="19"/>
      <c r="H446" s="19"/>
      <c r="I446" s="19"/>
      <c r="J446" s="19"/>
      <c r="K446" s="19"/>
      <c r="L446" s="19"/>
      <c r="M446" s="19"/>
      <c r="N446" s="19"/>
      <c r="O446" s="19"/>
      <c r="P446" s="19"/>
      <c r="Q446" s="19"/>
      <c r="R446" s="17"/>
    </row>
    <row r="447" spans="1:18">
      <c r="A447" s="17"/>
      <c r="C447" s="19"/>
      <c r="D447" s="19"/>
      <c r="E447" s="19"/>
      <c r="F447" s="19"/>
      <c r="G447" s="19"/>
      <c r="H447" s="19"/>
      <c r="I447" s="19"/>
      <c r="J447" s="19"/>
      <c r="K447" s="19"/>
      <c r="L447" s="19"/>
      <c r="M447" s="19"/>
      <c r="N447" s="19"/>
      <c r="O447" s="19"/>
      <c r="P447" s="19"/>
      <c r="Q447" s="19"/>
      <c r="R447" s="17"/>
    </row>
    <row r="448" spans="1:18">
      <c r="A448" s="17"/>
      <c r="C448" s="19"/>
      <c r="D448" s="19"/>
      <c r="E448" s="19"/>
      <c r="F448" s="19"/>
      <c r="G448" s="19"/>
      <c r="H448" s="19"/>
      <c r="I448" s="19"/>
      <c r="J448" s="19"/>
      <c r="K448" s="19"/>
      <c r="L448" s="19"/>
      <c r="M448" s="19"/>
      <c r="N448" s="19"/>
      <c r="O448" s="19"/>
      <c r="P448" s="19"/>
      <c r="Q448" s="19"/>
      <c r="R448" s="17"/>
    </row>
    <row r="449" spans="1:18">
      <c r="A449" s="17"/>
      <c r="C449" s="19"/>
      <c r="D449" s="19"/>
      <c r="E449" s="19"/>
      <c r="F449" s="19"/>
      <c r="G449" s="19"/>
      <c r="H449" s="19"/>
      <c r="I449" s="19"/>
      <c r="J449" s="19"/>
      <c r="K449" s="19"/>
      <c r="L449" s="19"/>
      <c r="M449" s="19"/>
      <c r="N449" s="19"/>
      <c r="O449" s="19"/>
      <c r="P449" s="19"/>
      <c r="Q449" s="19"/>
      <c r="R449" s="17"/>
    </row>
    <row r="450" spans="1:18">
      <c r="A450" s="17"/>
      <c r="C450" s="19"/>
      <c r="D450" s="19"/>
      <c r="E450" s="19"/>
      <c r="F450" s="19"/>
      <c r="G450" s="19"/>
      <c r="H450" s="19"/>
      <c r="I450" s="19"/>
      <c r="J450" s="19"/>
      <c r="K450" s="19"/>
      <c r="L450" s="19"/>
      <c r="M450" s="19"/>
      <c r="N450" s="19"/>
      <c r="O450" s="19"/>
      <c r="P450" s="19"/>
      <c r="Q450" s="19"/>
      <c r="R450" s="17"/>
    </row>
    <row r="451" spans="1:18">
      <c r="A451" s="17"/>
      <c r="C451" s="19"/>
      <c r="D451" s="19"/>
      <c r="E451" s="19"/>
      <c r="F451" s="19"/>
      <c r="G451" s="19"/>
      <c r="H451" s="19"/>
      <c r="I451" s="19"/>
      <c r="J451" s="19"/>
      <c r="K451" s="19"/>
      <c r="L451" s="19"/>
      <c r="M451" s="19"/>
      <c r="N451" s="19"/>
      <c r="O451" s="19"/>
      <c r="P451" s="19"/>
      <c r="Q451" s="19"/>
      <c r="R451" s="17"/>
    </row>
    <row r="452" spans="1:18">
      <c r="A452" s="17"/>
      <c r="C452" s="19"/>
      <c r="D452" s="19"/>
      <c r="E452" s="19"/>
      <c r="F452" s="19"/>
      <c r="G452" s="19"/>
      <c r="H452" s="19"/>
      <c r="I452" s="19"/>
      <c r="J452" s="19"/>
      <c r="K452" s="19"/>
      <c r="L452" s="19"/>
      <c r="M452" s="19"/>
      <c r="N452" s="19"/>
      <c r="O452" s="19"/>
      <c r="P452" s="19"/>
      <c r="Q452" s="19"/>
      <c r="R452" s="17"/>
    </row>
    <row r="453" spans="1:18">
      <c r="A453" s="17"/>
      <c r="C453" s="19"/>
      <c r="D453" s="19"/>
      <c r="E453" s="19"/>
      <c r="F453" s="19"/>
      <c r="G453" s="19"/>
      <c r="H453" s="19"/>
      <c r="I453" s="19"/>
      <c r="J453" s="19"/>
      <c r="K453" s="19"/>
      <c r="L453" s="19"/>
      <c r="M453" s="19"/>
      <c r="N453" s="19"/>
      <c r="O453" s="19"/>
      <c r="P453" s="19"/>
      <c r="Q453" s="19"/>
      <c r="R453" s="17"/>
    </row>
    <row r="454" spans="1:18">
      <c r="A454" s="17"/>
      <c r="C454" s="19"/>
      <c r="D454" s="19"/>
      <c r="E454" s="19"/>
      <c r="F454" s="19"/>
      <c r="G454" s="19"/>
      <c r="H454" s="19"/>
      <c r="I454" s="19"/>
      <c r="J454" s="19"/>
      <c r="K454" s="19"/>
      <c r="L454" s="19"/>
      <c r="M454" s="19"/>
      <c r="N454" s="19"/>
      <c r="O454" s="19"/>
      <c r="P454" s="19"/>
      <c r="Q454" s="19"/>
      <c r="R454" s="17"/>
    </row>
    <row r="455" spans="1:18">
      <c r="A455" s="17"/>
      <c r="C455" s="19"/>
      <c r="D455" s="19"/>
      <c r="E455" s="19"/>
      <c r="F455" s="19"/>
      <c r="G455" s="19"/>
      <c r="H455" s="19"/>
      <c r="I455" s="19"/>
      <c r="J455" s="19"/>
      <c r="K455" s="19"/>
      <c r="L455" s="19"/>
      <c r="M455" s="19"/>
      <c r="N455" s="19"/>
      <c r="O455" s="19"/>
      <c r="P455" s="19"/>
      <c r="Q455" s="19"/>
      <c r="R455" s="17"/>
    </row>
    <row r="456" spans="1:18">
      <c r="A456" s="17"/>
      <c r="C456" s="19"/>
      <c r="D456" s="19"/>
      <c r="E456" s="19"/>
      <c r="F456" s="19"/>
      <c r="G456" s="19"/>
      <c r="H456" s="19"/>
      <c r="I456" s="19"/>
      <c r="J456" s="19"/>
      <c r="K456" s="19"/>
      <c r="L456" s="19"/>
      <c r="M456" s="19"/>
      <c r="N456" s="19"/>
      <c r="O456" s="19"/>
      <c r="P456" s="19"/>
      <c r="Q456" s="19"/>
      <c r="R456" s="17"/>
    </row>
    <row r="457" spans="1:18">
      <c r="A457" s="17"/>
      <c r="C457" s="19"/>
      <c r="D457" s="19"/>
      <c r="E457" s="19"/>
      <c r="F457" s="19"/>
      <c r="G457" s="19"/>
      <c r="H457" s="19"/>
      <c r="I457" s="19"/>
      <c r="J457" s="19"/>
      <c r="K457" s="19"/>
      <c r="L457" s="19"/>
      <c r="M457" s="19"/>
      <c r="N457" s="19"/>
      <c r="O457" s="19"/>
      <c r="P457" s="19"/>
      <c r="Q457" s="19"/>
      <c r="R457" s="17"/>
    </row>
    <row r="458" spans="1:18">
      <c r="A458" s="17"/>
      <c r="C458" s="19"/>
      <c r="D458" s="19"/>
      <c r="E458" s="19"/>
      <c r="F458" s="19"/>
      <c r="G458" s="19"/>
      <c r="H458" s="19"/>
      <c r="I458" s="19"/>
      <c r="J458" s="19"/>
      <c r="K458" s="19"/>
      <c r="L458" s="19"/>
      <c r="M458" s="19"/>
      <c r="N458" s="19"/>
      <c r="O458" s="19"/>
      <c r="P458" s="19"/>
      <c r="Q458" s="19"/>
      <c r="R458" s="17"/>
    </row>
    <row r="459" spans="1:18">
      <c r="A459" s="17"/>
      <c r="C459" s="19"/>
      <c r="D459" s="19"/>
      <c r="E459" s="19"/>
      <c r="F459" s="19"/>
      <c r="G459" s="19"/>
      <c r="H459" s="19"/>
      <c r="I459" s="19"/>
      <c r="J459" s="19"/>
      <c r="K459" s="19"/>
      <c r="L459" s="19"/>
      <c r="M459" s="19"/>
      <c r="N459" s="19"/>
      <c r="O459" s="19"/>
      <c r="P459" s="19"/>
      <c r="Q459" s="19"/>
      <c r="R459" s="17"/>
    </row>
    <row r="460" spans="1:18">
      <c r="A460" s="17"/>
      <c r="C460" s="19"/>
      <c r="D460" s="19"/>
      <c r="E460" s="19"/>
      <c r="F460" s="19"/>
      <c r="G460" s="19"/>
      <c r="H460" s="19"/>
      <c r="I460" s="19"/>
      <c r="J460" s="19"/>
      <c r="K460" s="19"/>
      <c r="L460" s="19"/>
      <c r="M460" s="19"/>
      <c r="N460" s="19"/>
      <c r="O460" s="19"/>
      <c r="P460" s="19"/>
      <c r="Q460" s="19"/>
      <c r="R460" s="17"/>
    </row>
    <row r="461" spans="1:18">
      <c r="A461" s="17"/>
      <c r="C461" s="19"/>
      <c r="D461" s="19"/>
      <c r="E461" s="19"/>
      <c r="F461" s="19"/>
      <c r="G461" s="19"/>
      <c r="H461" s="19"/>
      <c r="I461" s="19"/>
      <c r="J461" s="19"/>
      <c r="K461" s="19"/>
      <c r="L461" s="19"/>
      <c r="M461" s="19"/>
      <c r="N461" s="19"/>
      <c r="O461" s="19"/>
      <c r="P461" s="19"/>
      <c r="Q461" s="19"/>
      <c r="R461" s="17"/>
    </row>
    <row r="462" spans="1:18">
      <c r="A462" s="17"/>
      <c r="C462" s="19"/>
      <c r="D462" s="19"/>
      <c r="E462" s="19"/>
      <c r="F462" s="19"/>
      <c r="G462" s="19"/>
      <c r="H462" s="19"/>
      <c r="I462" s="19"/>
      <c r="J462" s="19"/>
      <c r="K462" s="19"/>
      <c r="L462" s="19"/>
      <c r="M462" s="19"/>
      <c r="N462" s="19"/>
      <c r="O462" s="19"/>
      <c r="P462" s="19"/>
      <c r="Q462" s="19"/>
      <c r="R462" s="17"/>
    </row>
    <row r="463" spans="1:18">
      <c r="A463" s="17"/>
      <c r="C463" s="19"/>
      <c r="D463" s="19"/>
      <c r="E463" s="19"/>
      <c r="F463" s="19"/>
      <c r="G463" s="19"/>
      <c r="H463" s="19"/>
      <c r="I463" s="19"/>
      <c r="J463" s="19"/>
      <c r="K463" s="19"/>
      <c r="L463" s="19"/>
      <c r="M463" s="19"/>
      <c r="N463" s="19"/>
      <c r="O463" s="19"/>
      <c r="P463" s="19"/>
      <c r="Q463" s="19"/>
      <c r="R463" s="17"/>
    </row>
    <row r="464" spans="1:18">
      <c r="A464" s="17"/>
      <c r="C464" s="19"/>
      <c r="D464" s="19"/>
      <c r="E464" s="19"/>
      <c r="F464" s="19"/>
      <c r="G464" s="19"/>
      <c r="H464" s="19"/>
      <c r="I464" s="19"/>
      <c r="J464" s="19"/>
      <c r="K464" s="19"/>
      <c r="L464" s="19"/>
      <c r="M464" s="19"/>
      <c r="N464" s="19"/>
      <c r="O464" s="19"/>
      <c r="P464" s="19"/>
      <c r="Q464" s="19"/>
      <c r="R464" s="17"/>
    </row>
    <row r="465" spans="1:18">
      <c r="A465" s="17"/>
      <c r="C465" s="19"/>
      <c r="D465" s="19"/>
      <c r="E465" s="19"/>
      <c r="F465" s="19"/>
      <c r="G465" s="19"/>
      <c r="H465" s="19"/>
      <c r="I465" s="19"/>
      <c r="J465" s="19"/>
      <c r="K465" s="19"/>
      <c r="L465" s="19"/>
      <c r="M465" s="19"/>
      <c r="N465" s="19"/>
      <c r="O465" s="19"/>
      <c r="P465" s="19"/>
      <c r="Q465" s="19"/>
      <c r="R465" s="17"/>
    </row>
    <row r="466" spans="1:18">
      <c r="A466" s="17"/>
      <c r="C466" s="19"/>
      <c r="D466" s="19"/>
      <c r="E466" s="19"/>
      <c r="F466" s="19"/>
      <c r="G466" s="19"/>
      <c r="H466" s="19"/>
      <c r="I466" s="19"/>
      <c r="J466" s="19"/>
      <c r="K466" s="19"/>
      <c r="L466" s="19"/>
      <c r="M466" s="19"/>
      <c r="N466" s="19"/>
      <c r="O466" s="19"/>
      <c r="P466" s="19"/>
      <c r="Q466" s="19"/>
      <c r="R466" s="17"/>
    </row>
    <row r="467" spans="1:18">
      <c r="A467" s="17"/>
      <c r="C467" s="19"/>
      <c r="D467" s="19"/>
      <c r="E467" s="19"/>
      <c r="F467" s="19"/>
      <c r="G467" s="19"/>
      <c r="H467" s="19"/>
      <c r="I467" s="19"/>
      <c r="J467" s="19"/>
      <c r="K467" s="19"/>
      <c r="L467" s="19"/>
      <c r="M467" s="19"/>
      <c r="N467" s="19"/>
      <c r="O467" s="19"/>
      <c r="P467" s="19"/>
      <c r="Q467" s="19"/>
      <c r="R467" s="17"/>
    </row>
    <row r="468" spans="1:18">
      <c r="A468" s="17"/>
      <c r="C468" s="19"/>
      <c r="D468" s="19"/>
      <c r="E468" s="19"/>
      <c r="F468" s="19"/>
      <c r="G468" s="19"/>
      <c r="H468" s="19"/>
      <c r="I468" s="19"/>
      <c r="J468" s="19"/>
      <c r="K468" s="19"/>
      <c r="L468" s="19"/>
      <c r="M468" s="19"/>
      <c r="N468" s="19"/>
      <c r="O468" s="19"/>
      <c r="P468" s="19"/>
      <c r="Q468" s="19"/>
      <c r="R468" s="17"/>
    </row>
    <row r="469" spans="1:18">
      <c r="A469" s="17"/>
      <c r="C469" s="19"/>
      <c r="D469" s="19"/>
      <c r="E469" s="19"/>
      <c r="F469" s="19"/>
      <c r="G469" s="19"/>
      <c r="H469" s="19"/>
      <c r="I469" s="19"/>
      <c r="J469" s="19"/>
      <c r="K469" s="19"/>
      <c r="L469" s="19"/>
      <c r="M469" s="19"/>
      <c r="N469" s="19"/>
      <c r="O469" s="19"/>
      <c r="P469" s="19"/>
      <c r="Q469" s="19"/>
      <c r="R469" s="17"/>
    </row>
    <row r="470" spans="1:18">
      <c r="A470" s="17"/>
      <c r="C470" s="19"/>
      <c r="D470" s="19"/>
      <c r="E470" s="19"/>
      <c r="F470" s="19"/>
      <c r="G470" s="19"/>
      <c r="H470" s="19"/>
      <c r="I470" s="19"/>
      <c r="J470" s="19"/>
      <c r="K470" s="19"/>
      <c r="L470" s="19"/>
      <c r="M470" s="19"/>
      <c r="N470" s="19"/>
      <c r="O470" s="19"/>
      <c r="P470" s="19"/>
      <c r="Q470" s="19"/>
      <c r="R470" s="17"/>
    </row>
    <row r="471" spans="1:18">
      <c r="A471" s="17"/>
      <c r="C471" s="19"/>
      <c r="D471" s="19"/>
      <c r="E471" s="19"/>
      <c r="F471" s="19"/>
      <c r="G471" s="19"/>
      <c r="H471" s="19"/>
      <c r="I471" s="19"/>
      <c r="J471" s="19"/>
      <c r="K471" s="19"/>
      <c r="L471" s="19"/>
      <c r="M471" s="19"/>
      <c r="N471" s="19"/>
      <c r="O471" s="19"/>
      <c r="P471" s="19"/>
      <c r="Q471" s="19"/>
      <c r="R471" s="17"/>
    </row>
    <row r="472" spans="1:18">
      <c r="A472" s="17"/>
      <c r="C472" s="19"/>
      <c r="D472" s="19"/>
      <c r="E472" s="19"/>
      <c r="F472" s="19"/>
      <c r="G472" s="19"/>
      <c r="H472" s="19"/>
      <c r="I472" s="19"/>
      <c r="J472" s="19"/>
      <c r="K472" s="19"/>
      <c r="L472" s="19"/>
      <c r="M472" s="19"/>
      <c r="N472" s="19"/>
      <c r="O472" s="19"/>
      <c r="P472" s="19"/>
      <c r="Q472" s="19"/>
      <c r="R472" s="17"/>
    </row>
    <row r="473" spans="1:18">
      <c r="A473" s="17"/>
      <c r="C473" s="19"/>
      <c r="D473" s="19"/>
      <c r="E473" s="19"/>
      <c r="F473" s="19"/>
      <c r="G473" s="19"/>
      <c r="H473" s="19"/>
      <c r="I473" s="19"/>
      <c r="J473" s="19"/>
      <c r="K473" s="19"/>
      <c r="L473" s="19"/>
      <c r="M473" s="19"/>
      <c r="N473" s="19"/>
      <c r="O473" s="19"/>
      <c r="P473" s="19"/>
      <c r="Q473" s="19"/>
      <c r="R473" s="17"/>
    </row>
    <row r="474" spans="1:18">
      <c r="A474" s="17"/>
      <c r="C474" s="19"/>
      <c r="D474" s="19"/>
      <c r="E474" s="19"/>
      <c r="F474" s="19"/>
      <c r="G474" s="19"/>
      <c r="H474" s="19"/>
      <c r="I474" s="19"/>
      <c r="J474" s="19"/>
      <c r="K474" s="19"/>
      <c r="L474" s="19"/>
      <c r="M474" s="19"/>
      <c r="N474" s="19"/>
      <c r="O474" s="19"/>
      <c r="P474" s="19"/>
      <c r="Q474" s="19"/>
      <c r="R474" s="17"/>
    </row>
    <row r="475" spans="1:18">
      <c r="A475" s="17"/>
      <c r="C475" s="19"/>
      <c r="D475" s="19"/>
      <c r="E475" s="19"/>
      <c r="F475" s="19"/>
      <c r="G475" s="19"/>
      <c r="H475" s="19"/>
      <c r="I475" s="19"/>
      <c r="J475" s="19"/>
      <c r="K475" s="19"/>
      <c r="L475" s="19"/>
      <c r="M475" s="19"/>
      <c r="N475" s="19"/>
      <c r="O475" s="19"/>
      <c r="P475" s="19"/>
      <c r="Q475" s="19"/>
      <c r="R475" s="17"/>
    </row>
    <row r="476" spans="1:18">
      <c r="A476" s="17"/>
      <c r="C476" s="19"/>
      <c r="D476" s="19"/>
      <c r="E476" s="19"/>
      <c r="F476" s="19"/>
      <c r="G476" s="19"/>
      <c r="H476" s="19"/>
      <c r="I476" s="19"/>
      <c r="J476" s="19"/>
      <c r="K476" s="19"/>
      <c r="L476" s="19"/>
      <c r="M476" s="19"/>
      <c r="N476" s="19"/>
      <c r="O476" s="19"/>
      <c r="P476" s="19"/>
      <c r="Q476" s="19"/>
      <c r="R476" s="17"/>
    </row>
    <row r="477" spans="1:18">
      <c r="A477" s="17"/>
      <c r="C477" s="19"/>
      <c r="D477" s="19"/>
      <c r="E477" s="19"/>
      <c r="F477" s="19"/>
      <c r="G477" s="19"/>
      <c r="H477" s="19"/>
      <c r="I477" s="19"/>
      <c r="J477" s="19"/>
      <c r="K477" s="19"/>
      <c r="L477" s="19"/>
      <c r="M477" s="19"/>
      <c r="N477" s="19"/>
      <c r="O477" s="19"/>
      <c r="P477" s="19"/>
      <c r="Q477" s="19"/>
      <c r="R477" s="17"/>
    </row>
    <row r="478" spans="1:18">
      <c r="A478" s="17"/>
      <c r="C478" s="19"/>
      <c r="D478" s="19"/>
      <c r="E478" s="19"/>
      <c r="F478" s="19"/>
      <c r="G478" s="19"/>
      <c r="H478" s="19"/>
      <c r="I478" s="19"/>
      <c r="J478" s="19"/>
      <c r="K478" s="19"/>
      <c r="L478" s="19"/>
      <c r="M478" s="19"/>
      <c r="N478" s="19"/>
      <c r="O478" s="19"/>
      <c r="P478" s="19"/>
      <c r="Q478" s="19"/>
      <c r="R478" s="17"/>
    </row>
    <row r="479" spans="1:18">
      <c r="A479" s="17"/>
      <c r="C479" s="19"/>
      <c r="D479" s="19"/>
      <c r="E479" s="19"/>
      <c r="F479" s="19"/>
      <c r="G479" s="19"/>
      <c r="H479" s="19"/>
      <c r="I479" s="19"/>
      <c r="J479" s="19"/>
      <c r="K479" s="19"/>
      <c r="L479" s="19"/>
      <c r="M479" s="19"/>
      <c r="N479" s="19"/>
      <c r="O479" s="19"/>
      <c r="P479" s="19"/>
      <c r="Q479" s="19"/>
      <c r="R479" s="17"/>
    </row>
    <row r="480" spans="1:18">
      <c r="A480" s="17"/>
      <c r="C480" s="19"/>
      <c r="D480" s="19"/>
      <c r="E480" s="19"/>
      <c r="F480" s="19"/>
      <c r="G480" s="19"/>
      <c r="H480" s="19"/>
      <c r="I480" s="19"/>
      <c r="J480" s="19"/>
      <c r="K480" s="19"/>
      <c r="L480" s="19"/>
      <c r="M480" s="19"/>
      <c r="N480" s="19"/>
      <c r="O480" s="19"/>
      <c r="P480" s="19"/>
      <c r="Q480" s="19"/>
      <c r="R480" s="17"/>
    </row>
    <row r="481" spans="1:18">
      <c r="A481" s="17"/>
      <c r="C481" s="19"/>
      <c r="D481" s="19"/>
      <c r="E481" s="19"/>
      <c r="F481" s="19"/>
      <c r="G481" s="19"/>
      <c r="H481" s="19"/>
      <c r="I481" s="19"/>
      <c r="J481" s="19"/>
      <c r="K481" s="19"/>
      <c r="L481" s="19"/>
      <c r="M481" s="19"/>
      <c r="N481" s="19"/>
      <c r="O481" s="19"/>
      <c r="P481" s="19"/>
      <c r="Q481" s="19"/>
      <c r="R481" s="17"/>
    </row>
    <row r="482" spans="1:18">
      <c r="A482" s="17"/>
      <c r="C482" s="19"/>
      <c r="D482" s="19"/>
      <c r="E482" s="19"/>
      <c r="F482" s="19"/>
      <c r="G482" s="19"/>
      <c r="H482" s="19"/>
      <c r="I482" s="19"/>
      <c r="J482" s="19"/>
      <c r="K482" s="19"/>
      <c r="L482" s="19"/>
      <c r="M482" s="19"/>
      <c r="N482" s="19"/>
      <c r="O482" s="19"/>
      <c r="P482" s="19"/>
      <c r="Q482" s="19"/>
      <c r="R482" s="17"/>
    </row>
    <row r="483" spans="1:18">
      <c r="A483" s="17"/>
      <c r="C483" s="19"/>
      <c r="D483" s="19"/>
      <c r="E483" s="19"/>
      <c r="F483" s="19"/>
      <c r="G483" s="19"/>
      <c r="H483" s="19"/>
      <c r="I483" s="19"/>
      <c r="J483" s="19"/>
      <c r="K483" s="19"/>
      <c r="L483" s="19"/>
      <c r="M483" s="19"/>
      <c r="N483" s="19"/>
      <c r="O483" s="19"/>
      <c r="P483" s="19"/>
      <c r="Q483" s="19"/>
      <c r="R483" s="17"/>
    </row>
    <row r="484" spans="1:18">
      <c r="A484" s="17"/>
      <c r="C484" s="19"/>
      <c r="D484" s="19"/>
      <c r="E484" s="19"/>
      <c r="F484" s="19"/>
      <c r="G484" s="19"/>
      <c r="H484" s="19"/>
      <c r="I484" s="19"/>
      <c r="J484" s="19"/>
      <c r="K484" s="19"/>
      <c r="L484" s="19"/>
      <c r="M484" s="19"/>
      <c r="N484" s="19"/>
      <c r="O484" s="19"/>
      <c r="P484" s="19"/>
      <c r="Q484" s="19"/>
      <c r="R484" s="17"/>
    </row>
    <row r="485" spans="1:18">
      <c r="A485" s="17"/>
      <c r="C485" s="19"/>
      <c r="D485" s="19"/>
      <c r="E485" s="19"/>
      <c r="F485" s="19"/>
      <c r="G485" s="19"/>
      <c r="H485" s="19"/>
      <c r="I485" s="19"/>
      <c r="J485" s="19"/>
      <c r="K485" s="19"/>
      <c r="L485" s="19"/>
      <c r="M485" s="19"/>
      <c r="N485" s="19"/>
      <c r="O485" s="19"/>
      <c r="P485" s="19"/>
      <c r="Q485" s="19"/>
      <c r="R485" s="17"/>
    </row>
    <row r="486" spans="1:18">
      <c r="A486" s="17"/>
      <c r="C486" s="19"/>
      <c r="D486" s="19"/>
      <c r="E486" s="19"/>
      <c r="F486" s="19"/>
      <c r="G486" s="19"/>
      <c r="H486" s="19"/>
      <c r="I486" s="19"/>
      <c r="J486" s="19"/>
      <c r="K486" s="19"/>
      <c r="L486" s="19"/>
      <c r="M486" s="19"/>
      <c r="N486" s="19"/>
      <c r="O486" s="19"/>
      <c r="P486" s="19"/>
      <c r="Q486" s="19"/>
      <c r="R486" s="17"/>
    </row>
    <row r="487" spans="1:18">
      <c r="A487" s="17"/>
      <c r="C487" s="19"/>
      <c r="D487" s="19"/>
      <c r="E487" s="19"/>
      <c r="F487" s="19"/>
      <c r="G487" s="19"/>
      <c r="H487" s="19"/>
      <c r="I487" s="19"/>
      <c r="J487" s="19"/>
      <c r="K487" s="19"/>
      <c r="L487" s="19"/>
      <c r="M487" s="19"/>
      <c r="N487" s="19"/>
      <c r="O487" s="19"/>
      <c r="P487" s="19"/>
      <c r="Q487" s="19"/>
      <c r="R487" s="17"/>
    </row>
    <row r="488" spans="1:18">
      <c r="A488" s="17"/>
      <c r="C488" s="19"/>
      <c r="D488" s="19"/>
      <c r="E488" s="19"/>
      <c r="F488" s="19"/>
      <c r="G488" s="19"/>
      <c r="H488" s="19"/>
      <c r="I488" s="19"/>
      <c r="J488" s="19"/>
      <c r="K488" s="19"/>
      <c r="L488" s="19"/>
      <c r="M488" s="19"/>
      <c r="N488" s="19"/>
      <c r="O488" s="19"/>
      <c r="P488" s="19"/>
      <c r="Q488" s="19"/>
      <c r="R488" s="17"/>
    </row>
    <row r="489" spans="1:18">
      <c r="A489" s="17"/>
      <c r="C489" s="19"/>
      <c r="D489" s="19"/>
      <c r="E489" s="19"/>
      <c r="F489" s="19"/>
      <c r="G489" s="19"/>
      <c r="H489" s="19"/>
      <c r="I489" s="19"/>
      <c r="J489" s="19"/>
      <c r="K489" s="19"/>
      <c r="L489" s="19"/>
      <c r="M489" s="19"/>
      <c r="N489" s="19"/>
      <c r="O489" s="19"/>
      <c r="P489" s="19"/>
      <c r="Q489" s="19"/>
      <c r="R489" s="17"/>
    </row>
    <row r="490" spans="1:18">
      <c r="A490" s="17"/>
      <c r="C490" s="19"/>
      <c r="D490" s="19"/>
      <c r="E490" s="19"/>
      <c r="F490" s="19"/>
      <c r="G490" s="19"/>
      <c r="H490" s="19"/>
      <c r="I490" s="19"/>
      <c r="J490" s="19"/>
      <c r="K490" s="19"/>
      <c r="L490" s="19"/>
      <c r="M490" s="19"/>
      <c r="N490" s="19"/>
      <c r="O490" s="19"/>
      <c r="P490" s="19"/>
      <c r="Q490" s="19"/>
      <c r="R490" s="17"/>
    </row>
    <row r="491" spans="1:18">
      <c r="A491" s="17"/>
      <c r="C491" s="19"/>
      <c r="D491" s="19"/>
      <c r="E491" s="19"/>
      <c r="F491" s="19"/>
      <c r="G491" s="19"/>
      <c r="H491" s="19"/>
      <c r="I491" s="19"/>
      <c r="J491" s="19"/>
      <c r="K491" s="19"/>
      <c r="L491" s="19"/>
      <c r="M491" s="19"/>
      <c r="N491" s="19"/>
      <c r="O491" s="19"/>
      <c r="P491" s="19"/>
      <c r="Q491" s="19"/>
      <c r="R491" s="17"/>
    </row>
    <row r="492" spans="1:18">
      <c r="A492" s="17"/>
      <c r="C492" s="19"/>
      <c r="D492" s="19"/>
      <c r="E492" s="19"/>
      <c r="F492" s="19"/>
      <c r="G492" s="19"/>
      <c r="H492" s="19"/>
      <c r="I492" s="19"/>
      <c r="J492" s="19"/>
      <c r="K492" s="19"/>
      <c r="L492" s="19"/>
      <c r="M492" s="19"/>
      <c r="N492" s="19"/>
      <c r="O492" s="19"/>
      <c r="P492" s="19"/>
      <c r="Q492" s="19"/>
      <c r="R492" s="17"/>
    </row>
    <row r="493" spans="1:18">
      <c r="A493" s="17"/>
      <c r="C493" s="19"/>
      <c r="D493" s="19"/>
      <c r="E493" s="19"/>
      <c r="F493" s="19"/>
      <c r="G493" s="19"/>
      <c r="H493" s="19"/>
      <c r="I493" s="19"/>
      <c r="J493" s="19"/>
      <c r="K493" s="19"/>
      <c r="L493" s="19"/>
      <c r="M493" s="19"/>
      <c r="N493" s="19"/>
      <c r="O493" s="19"/>
      <c r="P493" s="19"/>
      <c r="Q493" s="19"/>
      <c r="R493" s="17"/>
    </row>
    <row r="494" spans="1:18">
      <c r="A494" s="17"/>
      <c r="C494" s="19"/>
      <c r="D494" s="19"/>
      <c r="E494" s="19"/>
      <c r="F494" s="19"/>
      <c r="G494" s="19"/>
      <c r="H494" s="19"/>
      <c r="I494" s="19"/>
      <c r="J494" s="19"/>
      <c r="K494" s="19"/>
      <c r="L494" s="19"/>
      <c r="M494" s="19"/>
      <c r="N494" s="19"/>
      <c r="O494" s="19"/>
      <c r="P494" s="19"/>
      <c r="Q494" s="19"/>
      <c r="R494" s="17"/>
    </row>
    <row r="495" spans="1:18">
      <c r="A495" s="17"/>
      <c r="C495" s="19"/>
      <c r="D495" s="19"/>
      <c r="E495" s="19"/>
      <c r="F495" s="19"/>
      <c r="G495" s="19"/>
      <c r="H495" s="19"/>
      <c r="I495" s="19"/>
      <c r="J495" s="19"/>
      <c r="K495" s="19"/>
      <c r="L495" s="19"/>
      <c r="M495" s="19"/>
      <c r="N495" s="19"/>
      <c r="O495" s="19"/>
      <c r="P495" s="19"/>
      <c r="Q495" s="19"/>
      <c r="R495" s="17"/>
    </row>
    <row r="496" spans="1:18">
      <c r="A496" s="17"/>
      <c r="C496" s="19"/>
      <c r="D496" s="19"/>
      <c r="E496" s="19"/>
      <c r="F496" s="19"/>
      <c r="G496" s="19"/>
      <c r="H496" s="19"/>
      <c r="I496" s="19"/>
      <c r="J496" s="19"/>
      <c r="K496" s="19"/>
      <c r="L496" s="19"/>
      <c r="M496" s="19"/>
      <c r="N496" s="19"/>
      <c r="O496" s="19"/>
      <c r="P496" s="19"/>
      <c r="Q496" s="19"/>
      <c r="R496" s="17"/>
    </row>
    <row r="497" spans="1:18">
      <c r="A497" s="17"/>
      <c r="C497" s="19"/>
      <c r="D497" s="19"/>
      <c r="E497" s="19"/>
      <c r="F497" s="19"/>
      <c r="G497" s="19"/>
      <c r="H497" s="19"/>
      <c r="I497" s="19"/>
      <c r="J497" s="19"/>
      <c r="K497" s="19"/>
      <c r="L497" s="19"/>
      <c r="M497" s="19"/>
      <c r="N497" s="19"/>
      <c r="O497" s="19"/>
      <c r="P497" s="19"/>
      <c r="Q497" s="19"/>
      <c r="R497" s="17"/>
    </row>
    <row r="498" spans="1:18">
      <c r="A498" s="17"/>
      <c r="C498" s="19"/>
      <c r="D498" s="19"/>
      <c r="E498" s="19"/>
      <c r="F498" s="19"/>
      <c r="G498" s="19"/>
      <c r="H498" s="19"/>
      <c r="I498" s="19"/>
      <c r="J498" s="19"/>
      <c r="K498" s="19"/>
      <c r="L498" s="19"/>
      <c r="M498" s="19"/>
      <c r="N498" s="19"/>
      <c r="O498" s="19"/>
      <c r="P498" s="19"/>
      <c r="Q498" s="19"/>
      <c r="R498" s="17"/>
    </row>
    <row r="499" spans="1:18">
      <c r="A499" s="17"/>
      <c r="C499" s="19"/>
      <c r="D499" s="19"/>
      <c r="E499" s="19"/>
      <c r="F499" s="19"/>
      <c r="G499" s="19"/>
      <c r="H499" s="19"/>
      <c r="I499" s="19"/>
      <c r="J499" s="19"/>
      <c r="K499" s="19"/>
      <c r="L499" s="19"/>
      <c r="M499" s="19"/>
      <c r="N499" s="19"/>
      <c r="O499" s="19"/>
      <c r="P499" s="19"/>
      <c r="Q499" s="19"/>
      <c r="R499" s="17"/>
    </row>
    <row r="500" spans="1:18">
      <c r="A500" s="17"/>
      <c r="C500" s="19"/>
      <c r="D500" s="19"/>
      <c r="E500" s="19"/>
      <c r="F500" s="19"/>
      <c r="G500" s="19"/>
      <c r="H500" s="19"/>
      <c r="I500" s="19"/>
      <c r="J500" s="19"/>
      <c r="K500" s="19"/>
      <c r="L500" s="19"/>
      <c r="M500" s="19"/>
      <c r="N500" s="19"/>
      <c r="O500" s="19"/>
      <c r="P500" s="19"/>
      <c r="Q500" s="19"/>
      <c r="R500" s="17"/>
    </row>
    <row r="501" spans="1:18">
      <c r="A501" s="17"/>
      <c r="C501" s="19"/>
      <c r="D501" s="19"/>
      <c r="E501" s="19"/>
      <c r="F501" s="19"/>
      <c r="G501" s="19"/>
      <c r="H501" s="19"/>
      <c r="I501" s="19"/>
      <c r="J501" s="19"/>
      <c r="K501" s="19"/>
      <c r="L501" s="19"/>
      <c r="M501" s="19"/>
      <c r="N501" s="19"/>
      <c r="O501" s="19"/>
      <c r="P501" s="19"/>
      <c r="Q501" s="19"/>
      <c r="R501" s="17"/>
    </row>
    <row r="502" spans="1:18">
      <c r="A502" s="17"/>
      <c r="C502" s="19"/>
      <c r="D502" s="19"/>
      <c r="E502" s="19"/>
      <c r="F502" s="19"/>
      <c r="G502" s="19"/>
      <c r="H502" s="19"/>
      <c r="I502" s="19"/>
      <c r="J502" s="19"/>
      <c r="K502" s="19"/>
      <c r="L502" s="19"/>
      <c r="M502" s="19"/>
      <c r="N502" s="19"/>
      <c r="O502" s="19"/>
      <c r="P502" s="19"/>
      <c r="Q502" s="19"/>
      <c r="R502" s="17"/>
    </row>
    <row r="503" spans="1:18">
      <c r="A503" s="17"/>
      <c r="C503" s="19"/>
      <c r="D503" s="19"/>
      <c r="E503" s="19"/>
      <c r="F503" s="19"/>
      <c r="G503" s="19"/>
      <c r="H503" s="19"/>
      <c r="I503" s="19"/>
      <c r="J503" s="19"/>
      <c r="K503" s="19"/>
      <c r="L503" s="19"/>
      <c r="M503" s="19"/>
      <c r="N503" s="19"/>
      <c r="O503" s="19"/>
      <c r="P503" s="19"/>
      <c r="Q503" s="19"/>
      <c r="R503" s="17"/>
    </row>
    <row r="504" spans="1:18">
      <c r="A504" s="17"/>
      <c r="C504" s="19"/>
      <c r="D504" s="19"/>
      <c r="E504" s="19"/>
      <c r="F504" s="19"/>
      <c r="G504" s="19"/>
      <c r="H504" s="19"/>
      <c r="I504" s="19"/>
      <c r="J504" s="19"/>
      <c r="K504" s="19"/>
      <c r="L504" s="19"/>
      <c r="M504" s="19"/>
      <c r="N504" s="19"/>
      <c r="O504" s="19"/>
      <c r="P504" s="19"/>
      <c r="Q504" s="19"/>
      <c r="R504" s="17"/>
    </row>
    <row r="505" spans="1:18">
      <c r="A505" s="17"/>
      <c r="C505" s="19"/>
      <c r="D505" s="19"/>
      <c r="E505" s="19"/>
      <c r="F505" s="19"/>
      <c r="G505" s="19"/>
      <c r="H505" s="19"/>
      <c r="I505" s="19"/>
      <c r="J505" s="19"/>
      <c r="K505" s="19"/>
      <c r="L505" s="19"/>
      <c r="M505" s="19"/>
      <c r="N505" s="19"/>
      <c r="O505" s="19"/>
      <c r="P505" s="19"/>
      <c r="Q505" s="19"/>
      <c r="R505" s="17"/>
    </row>
    <row r="506" spans="1:18">
      <c r="A506" s="17"/>
      <c r="C506" s="19"/>
      <c r="D506" s="19"/>
      <c r="E506" s="19"/>
      <c r="F506" s="19"/>
      <c r="G506" s="19"/>
      <c r="H506" s="19"/>
      <c r="I506" s="19"/>
      <c r="J506" s="19"/>
      <c r="K506" s="19"/>
      <c r="L506" s="19"/>
      <c r="M506" s="19"/>
      <c r="N506" s="19"/>
      <c r="O506" s="19"/>
      <c r="P506" s="19"/>
      <c r="Q506" s="19"/>
      <c r="R506" s="17"/>
    </row>
    <row r="507" spans="1:18">
      <c r="A507" s="17"/>
      <c r="C507" s="19"/>
      <c r="D507" s="19"/>
      <c r="E507" s="19"/>
      <c r="F507" s="19"/>
      <c r="G507" s="19"/>
      <c r="H507" s="19"/>
      <c r="I507" s="19"/>
      <c r="J507" s="19"/>
      <c r="K507" s="19"/>
      <c r="L507" s="19"/>
      <c r="M507" s="19"/>
      <c r="N507" s="19"/>
      <c r="O507" s="19"/>
      <c r="P507" s="19"/>
      <c r="Q507" s="19"/>
      <c r="R507" s="17"/>
    </row>
    <row r="508" spans="1:18">
      <c r="A508" s="17"/>
      <c r="C508" s="19"/>
      <c r="D508" s="19"/>
      <c r="E508" s="19"/>
      <c r="F508" s="19"/>
      <c r="G508" s="19"/>
      <c r="H508" s="19"/>
      <c r="I508" s="19"/>
      <c r="J508" s="19"/>
      <c r="K508" s="19"/>
      <c r="L508" s="19"/>
      <c r="M508" s="19"/>
      <c r="N508" s="19"/>
      <c r="O508" s="19"/>
      <c r="P508" s="19"/>
      <c r="Q508" s="19"/>
      <c r="R508" s="17"/>
    </row>
    <row r="509" spans="1:18">
      <c r="A509" s="17"/>
      <c r="C509" s="19"/>
      <c r="D509" s="19"/>
      <c r="E509" s="19"/>
      <c r="F509" s="19"/>
      <c r="G509" s="19"/>
      <c r="H509" s="19"/>
      <c r="I509" s="19"/>
      <c r="J509" s="19"/>
      <c r="K509" s="19"/>
      <c r="L509" s="19"/>
      <c r="M509" s="19"/>
      <c r="N509" s="19"/>
      <c r="O509" s="19"/>
      <c r="P509" s="19"/>
      <c r="Q509" s="19"/>
      <c r="R509" s="17"/>
    </row>
    <row r="510" spans="1:18">
      <c r="A510" s="17"/>
      <c r="C510" s="19"/>
      <c r="D510" s="19"/>
      <c r="E510" s="19"/>
      <c r="F510" s="19"/>
      <c r="G510" s="19"/>
      <c r="H510" s="19"/>
      <c r="I510" s="19"/>
      <c r="J510" s="19"/>
      <c r="K510" s="19"/>
      <c r="L510" s="19"/>
      <c r="M510" s="19"/>
      <c r="N510" s="19"/>
      <c r="O510" s="19"/>
      <c r="P510" s="19"/>
      <c r="Q510" s="19"/>
      <c r="R510" s="17"/>
    </row>
    <row r="511" spans="1:18">
      <c r="A511" s="17"/>
      <c r="C511" s="19"/>
      <c r="D511" s="19"/>
      <c r="E511" s="19"/>
      <c r="F511" s="19"/>
      <c r="G511" s="19"/>
      <c r="H511" s="19"/>
      <c r="I511" s="19"/>
      <c r="J511" s="19"/>
      <c r="K511" s="19"/>
      <c r="L511" s="19"/>
      <c r="M511" s="19"/>
      <c r="N511" s="19"/>
      <c r="O511" s="19"/>
      <c r="P511" s="19"/>
      <c r="Q511" s="19"/>
      <c r="R511" s="17"/>
    </row>
    <row r="512" spans="1:18">
      <c r="A512" s="17"/>
      <c r="C512" s="19"/>
      <c r="D512" s="19"/>
      <c r="E512" s="19"/>
      <c r="F512" s="19"/>
      <c r="G512" s="19"/>
      <c r="H512" s="19"/>
      <c r="I512" s="19"/>
      <c r="J512" s="19"/>
      <c r="K512" s="19"/>
      <c r="L512" s="19"/>
      <c r="M512" s="19"/>
      <c r="N512" s="19"/>
      <c r="O512" s="19"/>
      <c r="P512" s="19"/>
      <c r="Q512" s="19"/>
      <c r="R512" s="17"/>
    </row>
    <row r="513" spans="1:18">
      <c r="A513" s="17"/>
      <c r="C513" s="19"/>
      <c r="D513" s="19"/>
      <c r="E513" s="19"/>
      <c r="F513" s="19"/>
      <c r="G513" s="19"/>
      <c r="H513" s="19"/>
      <c r="I513" s="19"/>
      <c r="J513" s="19"/>
      <c r="K513" s="19"/>
      <c r="L513" s="19"/>
      <c r="M513" s="19"/>
      <c r="N513" s="19"/>
      <c r="O513" s="19"/>
      <c r="P513" s="19"/>
      <c r="Q513" s="19"/>
      <c r="R513" s="17"/>
    </row>
    <row r="514" spans="1:18">
      <c r="A514" s="17"/>
      <c r="C514" s="19"/>
      <c r="D514" s="19"/>
      <c r="E514" s="19"/>
      <c r="F514" s="19"/>
      <c r="G514" s="19"/>
      <c r="H514" s="19"/>
      <c r="I514" s="19"/>
      <c r="J514" s="19"/>
      <c r="K514" s="19"/>
      <c r="L514" s="19"/>
      <c r="M514" s="19"/>
      <c r="N514" s="19"/>
      <c r="O514" s="19"/>
      <c r="P514" s="19"/>
      <c r="Q514" s="19"/>
      <c r="R514" s="17"/>
    </row>
    <row r="515" spans="1:18">
      <c r="A515" s="17"/>
      <c r="C515" s="19"/>
      <c r="D515" s="19"/>
      <c r="E515" s="19"/>
      <c r="F515" s="19"/>
      <c r="G515" s="19"/>
      <c r="H515" s="19"/>
      <c r="I515" s="19"/>
      <c r="J515" s="19"/>
      <c r="K515" s="19"/>
      <c r="L515" s="19"/>
      <c r="M515" s="19"/>
      <c r="N515" s="19"/>
      <c r="O515" s="19"/>
      <c r="P515" s="19"/>
      <c r="Q515" s="19"/>
      <c r="R515" s="17"/>
    </row>
    <row r="516" spans="1:18">
      <c r="A516" s="17"/>
      <c r="C516" s="19"/>
      <c r="D516" s="19"/>
      <c r="E516" s="19"/>
      <c r="F516" s="19"/>
      <c r="G516" s="19"/>
      <c r="H516" s="19"/>
      <c r="I516" s="19"/>
      <c r="J516" s="19"/>
      <c r="K516" s="19"/>
      <c r="L516" s="19"/>
      <c r="M516" s="19"/>
      <c r="N516" s="19"/>
      <c r="O516" s="19"/>
      <c r="P516" s="19"/>
      <c r="Q516" s="19"/>
      <c r="R516" s="17"/>
    </row>
    <row r="517" spans="1:18">
      <c r="A517" s="17"/>
      <c r="C517" s="19"/>
      <c r="D517" s="19"/>
      <c r="E517" s="19"/>
      <c r="F517" s="19"/>
      <c r="G517" s="19"/>
      <c r="H517" s="19"/>
      <c r="I517" s="19"/>
      <c r="J517" s="19"/>
      <c r="K517" s="19"/>
      <c r="L517" s="19"/>
      <c r="M517" s="19"/>
      <c r="N517" s="19"/>
      <c r="O517" s="19"/>
      <c r="P517" s="19"/>
      <c r="Q517" s="19"/>
      <c r="R517" s="17"/>
    </row>
    <row r="518" spans="1:18">
      <c r="A518" s="17"/>
      <c r="C518" s="19"/>
      <c r="D518" s="19"/>
      <c r="E518" s="19"/>
      <c r="F518" s="19"/>
      <c r="G518" s="19"/>
      <c r="H518" s="19"/>
      <c r="I518" s="19"/>
      <c r="J518" s="19"/>
      <c r="K518" s="19"/>
      <c r="L518" s="19"/>
      <c r="M518" s="19"/>
      <c r="N518" s="19"/>
      <c r="O518" s="19"/>
      <c r="P518" s="19"/>
      <c r="Q518" s="19"/>
      <c r="R518" s="17"/>
    </row>
    <row r="519" spans="1:18">
      <c r="A519" s="17"/>
      <c r="C519" s="19"/>
      <c r="D519" s="19"/>
      <c r="E519" s="19"/>
      <c r="F519" s="19"/>
      <c r="G519" s="19"/>
      <c r="H519" s="19"/>
      <c r="I519" s="19"/>
      <c r="J519" s="19"/>
      <c r="K519" s="19"/>
      <c r="L519" s="19"/>
      <c r="M519" s="19"/>
      <c r="N519" s="19"/>
      <c r="O519" s="19"/>
      <c r="P519" s="19"/>
      <c r="Q519" s="19"/>
      <c r="R519" s="17"/>
    </row>
    <row r="520" spans="1:18">
      <c r="A520" s="17"/>
      <c r="C520" s="19"/>
      <c r="D520" s="19"/>
      <c r="E520" s="19"/>
      <c r="F520" s="19"/>
      <c r="G520" s="19"/>
      <c r="H520" s="19"/>
      <c r="I520" s="19"/>
      <c r="J520" s="19"/>
      <c r="K520" s="19"/>
      <c r="L520" s="19"/>
      <c r="M520" s="19"/>
      <c r="N520" s="19"/>
      <c r="O520" s="19"/>
      <c r="P520" s="19"/>
      <c r="Q520" s="19"/>
      <c r="R520" s="17"/>
    </row>
    <row r="521" spans="1:18">
      <c r="A521" s="17"/>
      <c r="C521" s="19"/>
      <c r="D521" s="19"/>
      <c r="E521" s="19"/>
      <c r="F521" s="19"/>
      <c r="G521" s="19"/>
      <c r="H521" s="19"/>
      <c r="I521" s="19"/>
      <c r="J521" s="19"/>
      <c r="K521" s="19"/>
      <c r="L521" s="19"/>
      <c r="M521" s="19"/>
      <c r="N521" s="19"/>
      <c r="O521" s="19"/>
      <c r="P521" s="19"/>
      <c r="Q521" s="19"/>
      <c r="R521" s="17"/>
    </row>
    <row r="522" spans="1:18">
      <c r="A522" s="17"/>
      <c r="C522" s="19"/>
      <c r="D522" s="19"/>
      <c r="E522" s="19"/>
      <c r="F522" s="19"/>
      <c r="G522" s="19"/>
      <c r="H522" s="19"/>
      <c r="I522" s="19"/>
      <c r="J522" s="19"/>
      <c r="K522" s="19"/>
      <c r="L522" s="19"/>
      <c r="M522" s="19"/>
      <c r="N522" s="19"/>
      <c r="O522" s="19"/>
      <c r="P522" s="19"/>
      <c r="Q522" s="19"/>
      <c r="R522" s="17"/>
    </row>
    <row r="523" spans="1:18">
      <c r="A523" s="17"/>
      <c r="C523" s="19"/>
      <c r="D523" s="19"/>
      <c r="E523" s="19"/>
      <c r="F523" s="19"/>
      <c r="G523" s="19"/>
      <c r="H523" s="19"/>
      <c r="I523" s="19"/>
      <c r="J523" s="19"/>
      <c r="K523" s="19"/>
      <c r="L523" s="19"/>
      <c r="M523" s="19"/>
      <c r="N523" s="19"/>
      <c r="O523" s="19"/>
      <c r="P523" s="19"/>
      <c r="Q523" s="19"/>
      <c r="R523" s="17"/>
    </row>
    <row r="524" spans="1:18">
      <c r="A524" s="17"/>
      <c r="C524" s="19"/>
      <c r="D524" s="19"/>
      <c r="E524" s="19"/>
      <c r="F524" s="19"/>
      <c r="G524" s="19"/>
      <c r="H524" s="19"/>
      <c r="I524" s="19"/>
      <c r="J524" s="19"/>
      <c r="K524" s="19"/>
      <c r="L524" s="19"/>
      <c r="M524" s="19"/>
      <c r="N524" s="19"/>
      <c r="O524" s="19"/>
      <c r="P524" s="19"/>
      <c r="Q524" s="19"/>
      <c r="R524" s="17"/>
    </row>
    <row r="525" spans="1:18">
      <c r="A525" s="17"/>
      <c r="C525" s="19"/>
      <c r="D525" s="19"/>
      <c r="E525" s="19"/>
      <c r="F525" s="19"/>
      <c r="G525" s="19"/>
      <c r="H525" s="19"/>
      <c r="I525" s="19"/>
      <c r="J525" s="19"/>
      <c r="K525" s="19"/>
      <c r="L525" s="19"/>
      <c r="M525" s="19"/>
      <c r="N525" s="19"/>
      <c r="O525" s="19"/>
      <c r="P525" s="19"/>
      <c r="Q525" s="19"/>
      <c r="R525" s="17"/>
    </row>
    <row r="526" spans="1:18">
      <c r="A526" s="17"/>
      <c r="C526" s="19"/>
      <c r="D526" s="19"/>
      <c r="E526" s="19"/>
      <c r="F526" s="19"/>
      <c r="G526" s="19"/>
      <c r="H526" s="19"/>
      <c r="I526" s="19"/>
      <c r="J526" s="19"/>
      <c r="K526" s="19"/>
      <c r="L526" s="19"/>
      <c r="M526" s="19"/>
      <c r="N526" s="19"/>
      <c r="O526" s="19"/>
      <c r="P526" s="19"/>
      <c r="Q526" s="19"/>
      <c r="R526" s="17"/>
    </row>
    <row r="527" spans="1:18">
      <c r="A527" s="17"/>
      <c r="C527" s="19"/>
      <c r="D527" s="19"/>
      <c r="E527" s="19"/>
      <c r="F527" s="19"/>
      <c r="G527" s="19"/>
      <c r="H527" s="19"/>
      <c r="I527" s="19"/>
      <c r="J527" s="19"/>
      <c r="K527" s="19"/>
      <c r="L527" s="19"/>
      <c r="M527" s="19"/>
      <c r="N527" s="19"/>
      <c r="O527" s="19"/>
      <c r="P527" s="19"/>
      <c r="Q527" s="19"/>
      <c r="R527" s="17"/>
    </row>
    <row r="528" spans="1:18">
      <c r="A528" s="17"/>
      <c r="C528" s="19"/>
      <c r="D528" s="19"/>
      <c r="E528" s="19"/>
      <c r="F528" s="19"/>
      <c r="G528" s="19"/>
      <c r="H528" s="19"/>
      <c r="I528" s="19"/>
      <c r="J528" s="19"/>
      <c r="K528" s="19"/>
      <c r="L528" s="19"/>
      <c r="M528" s="19"/>
      <c r="N528" s="19"/>
      <c r="O528" s="19"/>
      <c r="P528" s="19"/>
      <c r="Q528" s="19"/>
      <c r="R528" s="17"/>
    </row>
    <row r="529" spans="1:18">
      <c r="A529" s="17"/>
      <c r="C529" s="19"/>
      <c r="D529" s="19"/>
      <c r="E529" s="19"/>
      <c r="F529" s="19"/>
      <c r="G529" s="19"/>
      <c r="H529" s="19"/>
      <c r="I529" s="19"/>
      <c r="J529" s="19"/>
      <c r="K529" s="19"/>
      <c r="L529" s="19"/>
      <c r="M529" s="19"/>
      <c r="N529" s="19"/>
      <c r="O529" s="19"/>
      <c r="P529" s="19"/>
      <c r="Q529" s="19"/>
      <c r="R529" s="17"/>
    </row>
    <row r="530" spans="1:18">
      <c r="A530" s="17"/>
      <c r="C530" s="19"/>
      <c r="D530" s="19"/>
      <c r="E530" s="19"/>
      <c r="F530" s="19"/>
      <c r="G530" s="19"/>
      <c r="H530" s="19"/>
      <c r="I530" s="19"/>
      <c r="J530" s="19"/>
      <c r="K530" s="19"/>
      <c r="L530" s="19"/>
      <c r="M530" s="19"/>
      <c r="N530" s="19"/>
      <c r="O530" s="19"/>
      <c r="P530" s="19"/>
      <c r="Q530" s="19"/>
      <c r="R530" s="17"/>
    </row>
    <row r="531" spans="1:18">
      <c r="A531" s="17"/>
      <c r="C531" s="19"/>
      <c r="D531" s="19"/>
      <c r="E531" s="19"/>
      <c r="F531" s="19"/>
      <c r="G531" s="19"/>
      <c r="H531" s="19"/>
      <c r="I531" s="19"/>
      <c r="J531" s="19"/>
      <c r="K531" s="19"/>
      <c r="L531" s="19"/>
      <c r="M531" s="19"/>
      <c r="N531" s="19"/>
      <c r="O531" s="19"/>
      <c r="P531" s="19"/>
      <c r="Q531" s="19"/>
      <c r="R531" s="17"/>
    </row>
    <row r="532" spans="1:18">
      <c r="A532" s="17"/>
      <c r="C532" s="19"/>
      <c r="D532" s="19"/>
      <c r="E532" s="19"/>
      <c r="F532" s="19"/>
      <c r="G532" s="19"/>
      <c r="H532" s="19"/>
      <c r="I532" s="19"/>
      <c r="J532" s="19"/>
      <c r="K532" s="19"/>
      <c r="L532" s="19"/>
      <c r="M532" s="19"/>
      <c r="N532" s="19"/>
      <c r="O532" s="19"/>
      <c r="P532" s="19"/>
      <c r="Q532" s="19"/>
      <c r="R532" s="17"/>
    </row>
    <row r="533" spans="1:18">
      <c r="A533" s="17"/>
      <c r="C533" s="19"/>
      <c r="D533" s="19"/>
      <c r="E533" s="19"/>
      <c r="F533" s="19"/>
      <c r="G533" s="19"/>
      <c r="H533" s="19"/>
      <c r="I533" s="19"/>
      <c r="J533" s="19"/>
      <c r="K533" s="19"/>
      <c r="L533" s="19"/>
      <c r="M533" s="19"/>
      <c r="N533" s="19"/>
      <c r="O533" s="19"/>
      <c r="P533" s="19"/>
      <c r="Q533" s="19"/>
      <c r="R533" s="17"/>
    </row>
    <row r="534" spans="1:18">
      <c r="A534" s="17"/>
      <c r="C534" s="19"/>
      <c r="D534" s="19"/>
      <c r="E534" s="19"/>
      <c r="F534" s="19"/>
      <c r="G534" s="19"/>
      <c r="H534" s="19"/>
      <c r="I534" s="19"/>
      <c r="J534" s="19"/>
      <c r="K534" s="19"/>
      <c r="L534" s="19"/>
      <c r="M534" s="19"/>
      <c r="N534" s="19"/>
      <c r="O534" s="19"/>
      <c r="P534" s="19"/>
      <c r="Q534" s="19"/>
      <c r="R534" s="17"/>
    </row>
    <row r="535" spans="1:18">
      <c r="A535" s="17"/>
      <c r="C535" s="19"/>
      <c r="D535" s="19"/>
      <c r="E535" s="19"/>
      <c r="F535" s="19"/>
      <c r="G535" s="19"/>
      <c r="H535" s="19"/>
      <c r="I535" s="19"/>
      <c r="J535" s="19"/>
      <c r="K535" s="19"/>
      <c r="L535" s="19"/>
      <c r="M535" s="19"/>
      <c r="N535" s="19"/>
      <c r="O535" s="19"/>
      <c r="P535" s="19"/>
      <c r="Q535" s="19"/>
      <c r="R535" s="17"/>
    </row>
    <row r="536" spans="1:18">
      <c r="A536" s="17"/>
      <c r="C536" s="19"/>
      <c r="D536" s="19"/>
      <c r="E536" s="19"/>
      <c r="F536" s="19"/>
      <c r="G536" s="19"/>
      <c r="H536" s="19"/>
      <c r="I536" s="19"/>
      <c r="J536" s="19"/>
      <c r="K536" s="19"/>
      <c r="L536" s="19"/>
      <c r="M536" s="19"/>
      <c r="N536" s="19"/>
      <c r="O536" s="19"/>
      <c r="P536" s="19"/>
      <c r="Q536" s="19"/>
      <c r="R536" s="17"/>
    </row>
    <row r="537" spans="1:18">
      <c r="A537" s="17"/>
      <c r="C537" s="19"/>
      <c r="D537" s="19"/>
      <c r="E537" s="19"/>
      <c r="F537" s="19"/>
      <c r="G537" s="19"/>
      <c r="H537" s="19"/>
      <c r="I537" s="19"/>
      <c r="J537" s="19"/>
      <c r="K537" s="19"/>
      <c r="L537" s="19"/>
      <c r="M537" s="19"/>
      <c r="N537" s="19"/>
      <c r="O537" s="19"/>
      <c r="P537" s="19"/>
      <c r="Q537" s="19"/>
      <c r="R537" s="17"/>
    </row>
    <row r="538" spans="1:18">
      <c r="A538" s="17"/>
      <c r="C538" s="19"/>
      <c r="D538" s="19"/>
      <c r="E538" s="19"/>
      <c r="F538" s="19"/>
      <c r="G538" s="19"/>
      <c r="H538" s="19"/>
      <c r="I538" s="19"/>
      <c r="J538" s="19"/>
      <c r="K538" s="19"/>
      <c r="L538" s="19"/>
      <c r="M538" s="19"/>
      <c r="N538" s="19"/>
      <c r="O538" s="19"/>
      <c r="P538" s="19"/>
      <c r="Q538" s="19"/>
      <c r="R538" s="17"/>
    </row>
    <row r="539" spans="1:18">
      <c r="A539" s="17"/>
      <c r="C539" s="19"/>
      <c r="D539" s="19"/>
      <c r="E539" s="19"/>
      <c r="F539" s="19"/>
      <c r="G539" s="19"/>
      <c r="H539" s="19"/>
      <c r="I539" s="19"/>
      <c r="J539" s="19"/>
      <c r="K539" s="19"/>
      <c r="L539" s="19"/>
      <c r="M539" s="19"/>
      <c r="N539" s="19"/>
      <c r="O539" s="19"/>
      <c r="P539" s="19"/>
      <c r="Q539" s="19"/>
      <c r="R539" s="17"/>
    </row>
    <row r="540" spans="1:18">
      <c r="A540" s="17"/>
      <c r="C540" s="19"/>
      <c r="D540" s="19"/>
      <c r="E540" s="19"/>
      <c r="F540" s="19"/>
      <c r="G540" s="19"/>
      <c r="H540" s="19"/>
      <c r="I540" s="19"/>
      <c r="J540" s="19"/>
      <c r="K540" s="19"/>
      <c r="L540" s="19"/>
      <c r="M540" s="19"/>
      <c r="N540" s="19"/>
      <c r="O540" s="19"/>
      <c r="P540" s="19"/>
      <c r="Q540" s="19"/>
      <c r="R540" s="17"/>
    </row>
    <row r="541" spans="1:18">
      <c r="A541" s="17"/>
      <c r="C541" s="19"/>
      <c r="D541" s="19"/>
      <c r="E541" s="19"/>
      <c r="F541" s="19"/>
      <c r="G541" s="19"/>
      <c r="H541" s="19"/>
      <c r="I541" s="19"/>
      <c r="J541" s="19"/>
      <c r="K541" s="19"/>
      <c r="L541" s="19"/>
      <c r="M541" s="19"/>
      <c r="N541" s="19"/>
      <c r="O541" s="19"/>
      <c r="P541" s="19"/>
      <c r="Q541" s="19"/>
      <c r="R541" s="17"/>
    </row>
    <row r="542" spans="1:18">
      <c r="A542" s="17"/>
      <c r="C542" s="19"/>
      <c r="D542" s="19"/>
      <c r="E542" s="19"/>
      <c r="F542" s="19"/>
      <c r="G542" s="19"/>
      <c r="H542" s="19"/>
      <c r="I542" s="19"/>
      <c r="J542" s="19"/>
      <c r="K542" s="19"/>
      <c r="L542" s="19"/>
      <c r="M542" s="19"/>
      <c r="N542" s="19"/>
      <c r="O542" s="19"/>
      <c r="P542" s="19"/>
      <c r="Q542" s="19"/>
      <c r="R542" s="17"/>
    </row>
    <row r="543" spans="1:18">
      <c r="A543" s="17"/>
      <c r="C543" s="19"/>
      <c r="D543" s="19"/>
      <c r="E543" s="19"/>
      <c r="F543" s="19"/>
      <c r="G543" s="19"/>
      <c r="H543" s="19"/>
      <c r="I543" s="19"/>
      <c r="J543" s="19"/>
      <c r="K543" s="19"/>
      <c r="L543" s="19"/>
      <c r="M543" s="19"/>
      <c r="N543" s="19"/>
      <c r="O543" s="19"/>
      <c r="P543" s="19"/>
      <c r="Q543" s="19"/>
      <c r="R543" s="17"/>
    </row>
    <row r="544" spans="1:18">
      <c r="A544" s="17"/>
      <c r="C544" s="19"/>
      <c r="D544" s="19"/>
      <c r="E544" s="19"/>
      <c r="F544" s="19"/>
      <c r="G544" s="19"/>
      <c r="H544" s="19"/>
      <c r="I544" s="19"/>
      <c r="J544" s="19"/>
      <c r="K544" s="19"/>
      <c r="L544" s="19"/>
      <c r="M544" s="19"/>
      <c r="N544" s="19"/>
      <c r="O544" s="19"/>
      <c r="P544" s="19"/>
      <c r="Q544" s="19"/>
      <c r="R544" s="17"/>
    </row>
    <row r="545" spans="1:18">
      <c r="A545" s="17"/>
      <c r="C545" s="19"/>
      <c r="D545" s="19"/>
      <c r="E545" s="19"/>
      <c r="F545" s="19"/>
      <c r="G545" s="19"/>
      <c r="H545" s="19"/>
      <c r="I545" s="19"/>
      <c r="J545" s="19"/>
      <c r="K545" s="19"/>
      <c r="L545" s="19"/>
      <c r="M545" s="19"/>
      <c r="N545" s="19"/>
      <c r="O545" s="19"/>
      <c r="P545" s="19"/>
      <c r="Q545" s="19"/>
      <c r="R545" s="17"/>
    </row>
    <row r="546" spans="1:18">
      <c r="A546" s="17"/>
      <c r="C546" s="19"/>
      <c r="D546" s="19"/>
      <c r="E546" s="19"/>
      <c r="F546" s="19"/>
      <c r="G546" s="19"/>
      <c r="H546" s="19"/>
      <c r="I546" s="19"/>
      <c r="J546" s="19"/>
      <c r="K546" s="19"/>
      <c r="L546" s="19"/>
      <c r="M546" s="19"/>
      <c r="N546" s="19"/>
      <c r="O546" s="19"/>
      <c r="P546" s="19"/>
      <c r="Q546" s="19"/>
      <c r="R546" s="17"/>
    </row>
    <row r="547" spans="1:18">
      <c r="A547" s="17"/>
      <c r="C547" s="19"/>
      <c r="D547" s="19"/>
      <c r="E547" s="19"/>
      <c r="F547" s="19"/>
      <c r="G547" s="19"/>
      <c r="H547" s="19"/>
      <c r="I547" s="19"/>
      <c r="J547" s="19"/>
      <c r="K547" s="19"/>
      <c r="L547" s="19"/>
      <c r="M547" s="19"/>
      <c r="N547" s="19"/>
      <c r="O547" s="19"/>
      <c r="P547" s="19"/>
      <c r="Q547" s="19"/>
      <c r="R547" s="17"/>
    </row>
    <row r="548" spans="1:18">
      <c r="A548" s="17"/>
      <c r="C548" s="19"/>
      <c r="D548" s="19"/>
      <c r="E548" s="19"/>
      <c r="F548" s="19"/>
      <c r="G548" s="19"/>
      <c r="H548" s="19"/>
      <c r="I548" s="19"/>
      <c r="J548" s="19"/>
      <c r="K548" s="19"/>
      <c r="L548" s="19"/>
      <c r="M548" s="19"/>
      <c r="N548" s="19"/>
      <c r="O548" s="19"/>
      <c r="P548" s="19"/>
      <c r="Q548" s="19"/>
      <c r="R548" s="17"/>
    </row>
    <row r="549" spans="1:18">
      <c r="A549" s="17"/>
      <c r="C549" s="19"/>
      <c r="D549" s="19"/>
      <c r="E549" s="19"/>
      <c r="F549" s="19"/>
      <c r="G549" s="19"/>
      <c r="H549" s="19"/>
      <c r="I549" s="19"/>
      <c r="J549" s="19"/>
      <c r="K549" s="19"/>
      <c r="L549" s="19"/>
      <c r="M549" s="19"/>
      <c r="N549" s="19"/>
      <c r="O549" s="19"/>
      <c r="P549" s="19"/>
      <c r="Q549" s="19"/>
      <c r="R549" s="17"/>
    </row>
    <row r="550" spans="1:18">
      <c r="A550" s="17"/>
      <c r="C550" s="19"/>
      <c r="D550" s="19"/>
      <c r="E550" s="19"/>
      <c r="F550" s="19"/>
      <c r="G550" s="19"/>
      <c r="H550" s="19"/>
      <c r="I550" s="19"/>
      <c r="J550" s="19"/>
      <c r="K550" s="19"/>
      <c r="L550" s="19"/>
      <c r="M550" s="19"/>
      <c r="N550" s="19"/>
      <c r="O550" s="19"/>
      <c r="P550" s="19"/>
      <c r="Q550" s="19"/>
      <c r="R550" s="17"/>
    </row>
    <row r="551" spans="1:18">
      <c r="A551" s="17"/>
      <c r="C551" s="19"/>
      <c r="D551" s="19"/>
      <c r="E551" s="19"/>
      <c r="F551" s="19"/>
      <c r="G551" s="19"/>
      <c r="H551" s="19"/>
      <c r="I551" s="19"/>
      <c r="J551" s="19"/>
      <c r="K551" s="19"/>
      <c r="L551" s="19"/>
      <c r="M551" s="19"/>
      <c r="N551" s="19"/>
      <c r="O551" s="19"/>
      <c r="P551" s="19"/>
      <c r="Q551" s="19"/>
      <c r="R551" s="17"/>
    </row>
    <row r="552" spans="1:18">
      <c r="A552" s="17"/>
      <c r="C552" s="19"/>
      <c r="D552" s="19"/>
      <c r="E552" s="19"/>
      <c r="F552" s="19"/>
      <c r="G552" s="19"/>
      <c r="H552" s="19"/>
      <c r="I552" s="19"/>
      <c r="J552" s="19"/>
      <c r="K552" s="19"/>
      <c r="L552" s="19"/>
      <c r="M552" s="19"/>
      <c r="N552" s="19"/>
      <c r="O552" s="19"/>
      <c r="P552" s="19"/>
      <c r="Q552" s="19"/>
      <c r="R552" s="17"/>
    </row>
    <row r="553" spans="1:18">
      <c r="A553" s="17"/>
      <c r="C553" s="19"/>
      <c r="D553" s="19"/>
      <c r="E553" s="19"/>
      <c r="F553" s="19"/>
      <c r="G553" s="19"/>
      <c r="H553" s="19"/>
      <c r="I553" s="19"/>
      <c r="J553" s="19"/>
      <c r="K553" s="19"/>
      <c r="L553" s="19"/>
      <c r="M553" s="19"/>
      <c r="N553" s="19"/>
      <c r="O553" s="19"/>
      <c r="P553" s="19"/>
      <c r="Q553" s="19"/>
      <c r="R553" s="17"/>
    </row>
    <row r="554" spans="1:18">
      <c r="A554" s="17"/>
      <c r="C554" s="19"/>
      <c r="D554" s="19"/>
      <c r="E554" s="19"/>
      <c r="F554" s="19"/>
      <c r="G554" s="19"/>
      <c r="H554" s="19"/>
      <c r="I554" s="19"/>
      <c r="J554" s="19"/>
      <c r="K554" s="19"/>
      <c r="L554" s="19"/>
      <c r="M554" s="19"/>
      <c r="N554" s="19"/>
      <c r="O554" s="19"/>
      <c r="P554" s="19"/>
      <c r="Q554" s="19"/>
      <c r="R554" s="17"/>
    </row>
    <row r="555" spans="1:18">
      <c r="A555" s="17"/>
      <c r="C555" s="19"/>
      <c r="D555" s="19"/>
      <c r="E555" s="19"/>
      <c r="F555" s="19"/>
      <c r="G555" s="19"/>
      <c r="H555" s="19"/>
      <c r="I555" s="19"/>
      <c r="J555" s="19"/>
      <c r="K555" s="19"/>
      <c r="L555" s="19"/>
      <c r="M555" s="19"/>
      <c r="N555" s="19"/>
      <c r="O555" s="19"/>
      <c r="P555" s="19"/>
      <c r="Q555" s="19"/>
      <c r="R555" s="17"/>
    </row>
    <row r="556" spans="1:18">
      <c r="A556" s="17"/>
      <c r="C556" s="19"/>
      <c r="D556" s="19"/>
      <c r="E556" s="19"/>
      <c r="F556" s="19"/>
      <c r="G556" s="19"/>
      <c r="H556" s="19"/>
      <c r="I556" s="19"/>
      <c r="J556" s="19"/>
      <c r="K556" s="19"/>
      <c r="L556" s="19"/>
      <c r="M556" s="19"/>
      <c r="N556" s="19"/>
      <c r="O556" s="19"/>
      <c r="P556" s="19"/>
      <c r="Q556" s="19"/>
      <c r="R556" s="17"/>
    </row>
    <row r="557" spans="1:18">
      <c r="A557" s="17"/>
      <c r="C557" s="19"/>
      <c r="D557" s="19"/>
      <c r="E557" s="19"/>
      <c r="F557" s="19"/>
      <c r="G557" s="19"/>
      <c r="H557" s="19"/>
      <c r="I557" s="19"/>
      <c r="J557" s="19"/>
      <c r="K557" s="19"/>
      <c r="L557" s="19"/>
      <c r="M557" s="19"/>
      <c r="N557" s="19"/>
      <c r="O557" s="19"/>
      <c r="P557" s="19"/>
      <c r="Q557" s="19"/>
      <c r="R557" s="17"/>
    </row>
    <row r="558" spans="1:18">
      <c r="A558" s="17"/>
      <c r="C558" s="19"/>
      <c r="D558" s="19"/>
      <c r="E558" s="19"/>
      <c r="F558" s="19"/>
      <c r="G558" s="19"/>
      <c r="H558" s="19"/>
      <c r="I558" s="19"/>
      <c r="J558" s="19"/>
      <c r="K558" s="19"/>
      <c r="L558" s="19"/>
      <c r="M558" s="19"/>
      <c r="N558" s="19"/>
      <c r="O558" s="19"/>
      <c r="P558" s="19"/>
      <c r="Q558" s="19"/>
      <c r="R558" s="17"/>
    </row>
    <row r="559" spans="1:18">
      <c r="A559" s="17"/>
      <c r="C559" s="19"/>
      <c r="D559" s="19"/>
      <c r="E559" s="19"/>
      <c r="F559" s="19"/>
      <c r="G559" s="19"/>
      <c r="H559" s="19"/>
      <c r="I559" s="19"/>
      <c r="J559" s="19"/>
      <c r="K559" s="19"/>
      <c r="L559" s="19"/>
      <c r="M559" s="19"/>
      <c r="N559" s="19"/>
      <c r="O559" s="19"/>
      <c r="P559" s="19"/>
      <c r="Q559" s="19"/>
      <c r="R559" s="17"/>
    </row>
    <row r="560" spans="1:18">
      <c r="A560" s="17"/>
      <c r="C560" s="19"/>
      <c r="D560" s="19"/>
      <c r="E560" s="19"/>
      <c r="F560" s="19"/>
      <c r="G560" s="19"/>
      <c r="H560" s="19"/>
      <c r="I560" s="19"/>
      <c r="J560" s="19"/>
      <c r="K560" s="19"/>
      <c r="L560" s="19"/>
      <c r="M560" s="19"/>
      <c r="N560" s="19"/>
      <c r="O560" s="19"/>
      <c r="P560" s="19"/>
      <c r="Q560" s="19"/>
      <c r="R560" s="17"/>
    </row>
    <row r="561" spans="1:18">
      <c r="A561" s="17"/>
      <c r="C561" s="19"/>
      <c r="D561" s="19"/>
      <c r="E561" s="19"/>
      <c r="F561" s="19"/>
      <c r="G561" s="19"/>
      <c r="H561" s="19"/>
      <c r="I561" s="19"/>
      <c r="J561" s="19"/>
      <c r="K561" s="19"/>
      <c r="L561" s="19"/>
      <c r="M561" s="19"/>
      <c r="N561" s="19"/>
      <c r="O561" s="19"/>
      <c r="P561" s="19"/>
      <c r="Q561" s="19"/>
      <c r="R561" s="17"/>
    </row>
    <row r="562" spans="1:18">
      <c r="A562" s="17"/>
      <c r="C562" s="19"/>
      <c r="D562" s="19"/>
      <c r="E562" s="19"/>
      <c r="F562" s="19"/>
      <c r="G562" s="19"/>
      <c r="H562" s="19"/>
      <c r="I562" s="19"/>
      <c r="J562" s="19"/>
      <c r="K562" s="19"/>
      <c r="L562" s="19"/>
      <c r="M562" s="19"/>
      <c r="N562" s="19"/>
      <c r="O562" s="19"/>
      <c r="P562" s="19"/>
      <c r="Q562" s="19"/>
      <c r="R562" s="17"/>
    </row>
    <row r="563" spans="1:18">
      <c r="A563" s="17"/>
      <c r="C563" s="19"/>
      <c r="D563" s="19"/>
      <c r="E563" s="19"/>
      <c r="F563" s="19"/>
      <c r="G563" s="19"/>
      <c r="H563" s="19"/>
      <c r="I563" s="19"/>
      <c r="J563" s="19"/>
      <c r="K563" s="19"/>
      <c r="L563" s="19"/>
      <c r="M563" s="19"/>
      <c r="N563" s="19"/>
      <c r="O563" s="19"/>
      <c r="P563" s="19"/>
      <c r="Q563" s="19"/>
      <c r="R563" s="17"/>
    </row>
    <row r="564" spans="1:18">
      <c r="A564" s="17"/>
      <c r="C564" s="19"/>
      <c r="D564" s="19"/>
      <c r="E564" s="19"/>
      <c r="F564" s="19"/>
      <c r="G564" s="19"/>
      <c r="H564" s="19"/>
      <c r="I564" s="19"/>
      <c r="J564" s="19"/>
      <c r="K564" s="19"/>
      <c r="L564" s="19"/>
      <c r="M564" s="19"/>
      <c r="N564" s="19"/>
      <c r="O564" s="19"/>
      <c r="P564" s="19"/>
      <c r="Q564" s="19"/>
      <c r="R564" s="17"/>
    </row>
    <row r="565" spans="1:18">
      <c r="A565" s="17"/>
      <c r="C565" s="19"/>
      <c r="D565" s="19"/>
      <c r="E565" s="19"/>
      <c r="F565" s="19"/>
      <c r="G565" s="19"/>
      <c r="H565" s="19"/>
      <c r="I565" s="19"/>
      <c r="J565" s="19"/>
      <c r="K565" s="19"/>
      <c r="L565" s="19"/>
      <c r="M565" s="19"/>
      <c r="N565" s="19"/>
      <c r="O565" s="19"/>
      <c r="P565" s="19"/>
      <c r="Q565" s="19"/>
      <c r="R565" s="17"/>
    </row>
    <row r="566" spans="1:18">
      <c r="A566" s="17"/>
      <c r="C566" s="19"/>
      <c r="D566" s="19"/>
      <c r="E566" s="19"/>
      <c r="F566" s="19"/>
      <c r="G566" s="19"/>
      <c r="H566" s="19"/>
      <c r="I566" s="19"/>
      <c r="J566" s="19"/>
      <c r="K566" s="19"/>
      <c r="L566" s="19"/>
      <c r="M566" s="19"/>
      <c r="N566" s="19"/>
      <c r="O566" s="19"/>
      <c r="P566" s="19"/>
      <c r="Q566" s="19"/>
      <c r="R566" s="17"/>
    </row>
    <row r="567" spans="1:18">
      <c r="A567" s="17"/>
      <c r="C567" s="19"/>
      <c r="D567" s="19"/>
      <c r="E567" s="19"/>
      <c r="F567" s="19"/>
      <c r="G567" s="19"/>
      <c r="H567" s="19"/>
      <c r="I567" s="19"/>
      <c r="J567" s="19"/>
      <c r="K567" s="19"/>
      <c r="L567" s="19"/>
      <c r="M567" s="19"/>
      <c r="N567" s="19"/>
      <c r="O567" s="19"/>
      <c r="P567" s="19"/>
      <c r="Q567" s="19"/>
      <c r="R567" s="17"/>
    </row>
    <row r="568" spans="1:18">
      <c r="A568" s="17"/>
      <c r="C568" s="19"/>
      <c r="D568" s="19"/>
      <c r="E568" s="19"/>
      <c r="F568" s="19"/>
      <c r="G568" s="19"/>
      <c r="H568" s="19"/>
      <c r="I568" s="19"/>
      <c r="J568" s="19"/>
      <c r="K568" s="19"/>
      <c r="L568" s="19"/>
      <c r="M568" s="19"/>
      <c r="N568" s="19"/>
      <c r="O568" s="19"/>
      <c r="P568" s="19"/>
      <c r="Q568" s="19"/>
      <c r="R568" s="17"/>
    </row>
    <row r="569" spans="1:18">
      <c r="A569" s="17"/>
      <c r="C569" s="19"/>
      <c r="D569" s="19"/>
      <c r="E569" s="19"/>
      <c r="F569" s="19"/>
      <c r="G569" s="19"/>
      <c r="H569" s="19"/>
      <c r="I569" s="19"/>
      <c r="J569" s="19"/>
      <c r="K569" s="19"/>
      <c r="L569" s="19"/>
      <c r="M569" s="19"/>
      <c r="N569" s="19"/>
      <c r="O569" s="19"/>
      <c r="P569" s="19"/>
      <c r="Q569" s="19"/>
      <c r="R569" s="17"/>
    </row>
    <row r="570" spans="1:18">
      <c r="A570" s="17"/>
      <c r="C570" s="19"/>
      <c r="D570" s="19"/>
      <c r="E570" s="19"/>
      <c r="F570" s="19"/>
      <c r="G570" s="19"/>
      <c r="H570" s="19"/>
      <c r="I570" s="19"/>
      <c r="J570" s="19"/>
      <c r="K570" s="19"/>
      <c r="L570" s="19"/>
      <c r="M570" s="19"/>
      <c r="N570" s="19"/>
      <c r="O570" s="19"/>
      <c r="P570" s="19"/>
      <c r="Q570" s="19"/>
      <c r="R570" s="17"/>
    </row>
    <row r="571" spans="1:18">
      <c r="A571" s="17"/>
      <c r="C571" s="19"/>
      <c r="D571" s="19"/>
      <c r="E571" s="19"/>
      <c r="F571" s="19"/>
      <c r="G571" s="19"/>
      <c r="H571" s="19"/>
      <c r="I571" s="19"/>
      <c r="J571" s="19"/>
      <c r="K571" s="19"/>
      <c r="L571" s="19"/>
      <c r="M571" s="19"/>
      <c r="N571" s="19"/>
      <c r="O571" s="19"/>
      <c r="P571" s="19"/>
      <c r="Q571" s="19"/>
      <c r="R571" s="17"/>
    </row>
    <row r="572" spans="1:18">
      <c r="A572" s="17"/>
      <c r="C572" s="19"/>
      <c r="D572" s="19"/>
      <c r="E572" s="19"/>
      <c r="F572" s="19"/>
      <c r="G572" s="19"/>
      <c r="H572" s="19"/>
      <c r="I572" s="19"/>
      <c r="J572" s="19"/>
      <c r="K572" s="19"/>
      <c r="L572" s="19"/>
      <c r="M572" s="19"/>
      <c r="N572" s="19"/>
      <c r="O572" s="19"/>
      <c r="P572" s="19"/>
      <c r="Q572" s="19"/>
      <c r="R572" s="17"/>
    </row>
    <row r="573" spans="1:18">
      <c r="A573" s="17"/>
      <c r="C573" s="19"/>
      <c r="D573" s="19"/>
      <c r="E573" s="19"/>
      <c r="F573" s="19"/>
      <c r="G573" s="19"/>
      <c r="H573" s="19"/>
      <c r="I573" s="19"/>
      <c r="J573" s="19"/>
      <c r="K573" s="19"/>
      <c r="L573" s="19"/>
      <c r="M573" s="19"/>
      <c r="N573" s="19"/>
      <c r="O573" s="19"/>
      <c r="P573" s="19"/>
      <c r="Q573" s="19"/>
      <c r="R573" s="17"/>
    </row>
    <row r="574" spans="1:18">
      <c r="A574" s="17"/>
      <c r="C574" s="19"/>
      <c r="D574" s="19"/>
      <c r="E574" s="19"/>
      <c r="F574" s="19"/>
      <c r="G574" s="19"/>
      <c r="H574" s="19"/>
      <c r="I574" s="19"/>
      <c r="J574" s="19"/>
      <c r="K574" s="19"/>
      <c r="L574" s="19"/>
      <c r="M574" s="19"/>
      <c r="N574" s="19"/>
      <c r="O574" s="19"/>
      <c r="P574" s="19"/>
      <c r="Q574" s="19"/>
      <c r="R574" s="17"/>
    </row>
    <row r="575" spans="1:18">
      <c r="A575" s="17"/>
      <c r="C575" s="19"/>
      <c r="D575" s="19"/>
      <c r="E575" s="19"/>
      <c r="F575" s="19"/>
      <c r="G575" s="19"/>
      <c r="H575" s="19"/>
      <c r="I575" s="19"/>
      <c r="J575" s="19"/>
      <c r="K575" s="19"/>
      <c r="L575" s="19"/>
      <c r="M575" s="19"/>
      <c r="N575" s="19"/>
      <c r="O575" s="19"/>
      <c r="P575" s="19"/>
      <c r="Q575" s="19"/>
      <c r="R575" s="17"/>
    </row>
    <row r="576" spans="1:18">
      <c r="A576" s="17"/>
      <c r="C576" s="19"/>
      <c r="D576" s="19"/>
      <c r="E576" s="19"/>
      <c r="F576" s="19"/>
      <c r="G576" s="19"/>
      <c r="H576" s="19"/>
      <c r="I576" s="19"/>
      <c r="J576" s="19"/>
      <c r="K576" s="19"/>
      <c r="L576" s="19"/>
      <c r="M576" s="19"/>
      <c r="N576" s="19"/>
      <c r="O576" s="19"/>
      <c r="P576" s="19"/>
      <c r="Q576" s="19"/>
      <c r="R576" s="17"/>
    </row>
    <row r="577" spans="1:18">
      <c r="A577" s="17"/>
      <c r="C577" s="19"/>
      <c r="D577" s="19"/>
      <c r="E577" s="19"/>
      <c r="F577" s="19"/>
      <c r="G577" s="19"/>
      <c r="H577" s="19"/>
      <c r="I577" s="19"/>
      <c r="J577" s="19"/>
      <c r="K577" s="19"/>
      <c r="L577" s="19"/>
      <c r="M577" s="19"/>
      <c r="N577" s="19"/>
      <c r="O577" s="19"/>
      <c r="P577" s="19"/>
      <c r="Q577" s="19"/>
      <c r="R577" s="17"/>
    </row>
    <row r="578" spans="1:18">
      <c r="A578" s="17"/>
      <c r="C578" s="19"/>
      <c r="D578" s="19"/>
      <c r="E578" s="19"/>
      <c r="F578" s="19"/>
      <c r="G578" s="19"/>
      <c r="H578" s="19"/>
      <c r="I578" s="19"/>
      <c r="J578" s="19"/>
      <c r="K578" s="19"/>
      <c r="L578" s="19"/>
      <c r="M578" s="19"/>
      <c r="N578" s="19"/>
      <c r="O578" s="19"/>
      <c r="P578" s="19"/>
      <c r="Q578" s="19"/>
      <c r="R578" s="17"/>
    </row>
    <row r="579" spans="1:18">
      <c r="A579" s="17"/>
      <c r="C579" s="19"/>
      <c r="D579" s="19"/>
      <c r="E579" s="19"/>
      <c r="F579" s="19"/>
      <c r="G579" s="19"/>
      <c r="H579" s="19"/>
      <c r="I579" s="19"/>
      <c r="J579" s="19"/>
      <c r="K579" s="19"/>
      <c r="L579" s="19"/>
      <c r="M579" s="19"/>
      <c r="N579" s="19"/>
      <c r="O579" s="19"/>
      <c r="P579" s="19"/>
      <c r="Q579" s="19"/>
      <c r="R579" s="17"/>
    </row>
    <row r="580" spans="1:18">
      <c r="A580" s="17"/>
      <c r="C580" s="19"/>
      <c r="D580" s="19"/>
      <c r="E580" s="19"/>
      <c r="F580" s="19"/>
      <c r="G580" s="19"/>
      <c r="H580" s="19"/>
      <c r="I580" s="19"/>
      <c r="J580" s="19"/>
      <c r="K580" s="19"/>
      <c r="L580" s="19"/>
      <c r="M580" s="19"/>
      <c r="N580" s="19"/>
      <c r="O580" s="19"/>
      <c r="P580" s="19"/>
      <c r="Q580" s="19"/>
      <c r="R580" s="17"/>
    </row>
    <row r="581" spans="1:18">
      <c r="A581" s="17"/>
      <c r="C581" s="19"/>
      <c r="D581" s="19"/>
      <c r="E581" s="19"/>
      <c r="F581" s="19"/>
      <c r="G581" s="19"/>
      <c r="H581" s="19"/>
      <c r="I581" s="19"/>
      <c r="J581" s="19"/>
      <c r="K581" s="19"/>
      <c r="L581" s="19"/>
      <c r="M581" s="19"/>
      <c r="N581" s="19"/>
      <c r="O581" s="19"/>
      <c r="P581" s="19"/>
      <c r="Q581" s="19"/>
      <c r="R581" s="17"/>
    </row>
    <row r="582" spans="1:18">
      <c r="A582" s="17"/>
      <c r="C582" s="19"/>
      <c r="D582" s="19"/>
      <c r="E582" s="19"/>
      <c r="F582" s="19"/>
      <c r="G582" s="19"/>
      <c r="H582" s="19"/>
      <c r="I582" s="19"/>
      <c r="J582" s="19"/>
      <c r="K582" s="19"/>
      <c r="L582" s="19"/>
      <c r="M582" s="19"/>
      <c r="N582" s="19"/>
      <c r="O582" s="19"/>
      <c r="P582" s="19"/>
      <c r="Q582" s="19"/>
      <c r="R582" s="17"/>
    </row>
    <row r="583" spans="1:18">
      <c r="A583" s="17"/>
      <c r="C583" s="19"/>
      <c r="D583" s="19"/>
      <c r="E583" s="19"/>
      <c r="F583" s="19"/>
      <c r="G583" s="19"/>
      <c r="H583" s="19"/>
      <c r="I583" s="19"/>
      <c r="J583" s="19"/>
      <c r="K583" s="19"/>
      <c r="L583" s="19"/>
      <c r="M583" s="19"/>
      <c r="N583" s="19"/>
      <c r="O583" s="19"/>
      <c r="P583" s="19"/>
      <c r="Q583" s="19"/>
      <c r="R583" s="17"/>
    </row>
    <row r="584" spans="1:18">
      <c r="A584" s="17"/>
      <c r="C584" s="19"/>
      <c r="D584" s="19"/>
      <c r="E584" s="19"/>
      <c r="F584" s="19"/>
      <c r="G584" s="19"/>
      <c r="H584" s="19"/>
      <c r="I584" s="19"/>
      <c r="J584" s="19"/>
      <c r="K584" s="19"/>
      <c r="L584" s="19"/>
      <c r="M584" s="19"/>
      <c r="N584" s="19"/>
      <c r="O584" s="19"/>
      <c r="P584" s="19"/>
      <c r="Q584" s="19"/>
      <c r="R584" s="17"/>
    </row>
    <row r="585" spans="1:18">
      <c r="A585" s="17"/>
      <c r="C585" s="19"/>
      <c r="D585" s="19"/>
      <c r="E585" s="19"/>
      <c r="F585" s="19"/>
      <c r="G585" s="19"/>
      <c r="H585" s="19"/>
      <c r="I585" s="19"/>
      <c r="J585" s="19"/>
      <c r="K585" s="19"/>
      <c r="L585" s="19"/>
      <c r="M585" s="19"/>
      <c r="N585" s="19"/>
      <c r="O585" s="19"/>
      <c r="P585" s="19"/>
      <c r="Q585" s="19"/>
      <c r="R585" s="17"/>
    </row>
    <row r="586" spans="1:18">
      <c r="A586" s="17"/>
      <c r="C586" s="19"/>
      <c r="D586" s="19"/>
      <c r="E586" s="19"/>
      <c r="F586" s="19"/>
      <c r="G586" s="19"/>
      <c r="H586" s="19"/>
      <c r="I586" s="19"/>
      <c r="J586" s="19"/>
      <c r="K586" s="19"/>
      <c r="L586" s="19"/>
      <c r="M586" s="19"/>
      <c r="N586" s="19"/>
      <c r="O586" s="19"/>
      <c r="P586" s="19"/>
      <c r="Q586" s="19"/>
      <c r="R586" s="17"/>
    </row>
    <row r="587" spans="1:18">
      <c r="A587" s="17"/>
      <c r="C587" s="19"/>
      <c r="D587" s="19"/>
      <c r="E587" s="19"/>
      <c r="F587" s="19"/>
      <c r="G587" s="19"/>
      <c r="H587" s="19"/>
      <c r="I587" s="19"/>
      <c r="J587" s="19"/>
      <c r="K587" s="19"/>
      <c r="L587" s="19"/>
      <c r="M587" s="19"/>
      <c r="N587" s="19"/>
      <c r="O587" s="19"/>
      <c r="P587" s="19"/>
      <c r="Q587" s="19"/>
      <c r="R587" s="17"/>
    </row>
    <row r="588" spans="1:18">
      <c r="A588" s="17"/>
      <c r="C588" s="19"/>
      <c r="D588" s="19"/>
      <c r="E588" s="19"/>
      <c r="F588" s="19"/>
      <c r="G588" s="19"/>
      <c r="H588" s="19"/>
      <c r="I588" s="19"/>
      <c r="J588" s="19"/>
      <c r="K588" s="19"/>
      <c r="L588" s="19"/>
      <c r="M588" s="19"/>
      <c r="N588" s="19"/>
      <c r="O588" s="19"/>
      <c r="P588" s="19"/>
      <c r="Q588" s="19"/>
      <c r="R588" s="17"/>
    </row>
    <row r="589" spans="1:18">
      <c r="A589" s="17"/>
      <c r="C589" s="19"/>
      <c r="D589" s="19"/>
      <c r="E589" s="19"/>
      <c r="F589" s="19"/>
      <c r="G589" s="19"/>
      <c r="H589" s="19"/>
      <c r="I589" s="19"/>
      <c r="J589" s="19"/>
      <c r="K589" s="19"/>
      <c r="L589" s="19"/>
      <c r="M589" s="19"/>
      <c r="N589" s="19"/>
      <c r="O589" s="19"/>
      <c r="P589" s="19"/>
      <c r="Q589" s="19"/>
      <c r="R589" s="17"/>
    </row>
    <row r="590" spans="1:18">
      <c r="A590" s="17"/>
      <c r="C590" s="19"/>
      <c r="D590" s="19"/>
      <c r="E590" s="19"/>
      <c r="F590" s="19"/>
      <c r="G590" s="19"/>
      <c r="H590" s="19"/>
      <c r="I590" s="19"/>
      <c r="J590" s="19"/>
      <c r="K590" s="19"/>
      <c r="L590" s="19"/>
      <c r="M590" s="19"/>
      <c r="N590" s="19"/>
      <c r="O590" s="19"/>
      <c r="P590" s="19"/>
      <c r="Q590" s="19"/>
      <c r="R590" s="17"/>
    </row>
    <row r="591" spans="1:18">
      <c r="A591" s="17"/>
      <c r="C591" s="19"/>
      <c r="D591" s="19"/>
      <c r="E591" s="19"/>
      <c r="F591" s="19"/>
      <c r="G591" s="19"/>
      <c r="H591" s="19"/>
      <c r="I591" s="19"/>
      <c r="J591" s="19"/>
      <c r="K591" s="19"/>
      <c r="L591" s="19"/>
      <c r="M591" s="19"/>
      <c r="N591" s="19"/>
      <c r="O591" s="19"/>
      <c r="P591" s="19"/>
      <c r="Q591" s="19"/>
      <c r="R591" s="17"/>
    </row>
    <row r="592" spans="1:18">
      <c r="A592" s="17"/>
      <c r="C592" s="19"/>
      <c r="D592" s="19"/>
      <c r="E592" s="19"/>
      <c r="F592" s="19"/>
      <c r="G592" s="19"/>
      <c r="H592" s="19"/>
      <c r="I592" s="19"/>
      <c r="J592" s="19"/>
      <c r="K592" s="19"/>
      <c r="L592" s="19"/>
      <c r="M592" s="19"/>
      <c r="N592" s="19"/>
      <c r="O592" s="19"/>
      <c r="P592" s="19"/>
      <c r="Q592" s="19"/>
      <c r="R592" s="17"/>
    </row>
    <row r="593" spans="1:18">
      <c r="A593" s="17"/>
      <c r="C593" s="19"/>
      <c r="D593" s="19"/>
      <c r="E593" s="19"/>
      <c r="F593" s="19"/>
      <c r="G593" s="19"/>
      <c r="H593" s="19"/>
      <c r="I593" s="19"/>
      <c r="J593" s="19"/>
      <c r="K593" s="19"/>
      <c r="L593" s="19"/>
      <c r="M593" s="19"/>
      <c r="N593" s="19"/>
      <c r="O593" s="19"/>
      <c r="P593" s="19"/>
      <c r="Q593" s="19"/>
      <c r="R593" s="17"/>
    </row>
    <row r="594" spans="1:18">
      <c r="A594" s="17"/>
      <c r="C594" s="19"/>
      <c r="D594" s="19"/>
      <c r="E594" s="19"/>
      <c r="F594" s="19"/>
      <c r="G594" s="19"/>
      <c r="H594" s="19"/>
      <c r="I594" s="19"/>
      <c r="J594" s="19"/>
      <c r="K594" s="19"/>
      <c r="L594" s="19"/>
      <c r="M594" s="19"/>
      <c r="N594" s="19"/>
      <c r="O594" s="19"/>
      <c r="P594" s="19"/>
      <c r="Q594" s="19"/>
      <c r="R594" s="17"/>
    </row>
    <row r="595" spans="1:18">
      <c r="A595" s="17"/>
      <c r="C595" s="19"/>
      <c r="D595" s="19"/>
      <c r="E595" s="19"/>
      <c r="F595" s="19"/>
      <c r="G595" s="19"/>
      <c r="H595" s="19"/>
      <c r="I595" s="19"/>
      <c r="J595" s="19"/>
      <c r="K595" s="19"/>
      <c r="L595" s="19"/>
      <c r="M595" s="19"/>
      <c r="N595" s="19"/>
      <c r="O595" s="19"/>
      <c r="P595" s="19"/>
      <c r="Q595" s="19"/>
      <c r="R595" s="17"/>
    </row>
    <row r="596" spans="1:18">
      <c r="A596" s="17"/>
      <c r="C596" s="19"/>
      <c r="D596" s="19"/>
      <c r="E596" s="19"/>
      <c r="F596" s="19"/>
      <c r="G596" s="19"/>
      <c r="H596" s="19"/>
      <c r="I596" s="19"/>
      <c r="J596" s="19"/>
      <c r="K596" s="19"/>
      <c r="L596" s="19"/>
      <c r="M596" s="19"/>
      <c r="N596" s="19"/>
      <c r="O596" s="19"/>
      <c r="P596" s="19"/>
      <c r="Q596" s="19"/>
      <c r="R596" s="17"/>
    </row>
    <row r="597" spans="1:18">
      <c r="A597" s="17"/>
      <c r="C597" s="19"/>
      <c r="D597" s="19"/>
      <c r="E597" s="19"/>
      <c r="F597" s="19"/>
      <c r="G597" s="19"/>
      <c r="H597" s="19"/>
      <c r="I597" s="19"/>
      <c r="J597" s="19"/>
      <c r="K597" s="19"/>
      <c r="L597" s="19"/>
      <c r="M597" s="19"/>
      <c r="N597" s="19"/>
      <c r="O597" s="19"/>
      <c r="P597" s="19"/>
      <c r="Q597" s="19"/>
      <c r="R597" s="17"/>
    </row>
    <row r="598" spans="1:18">
      <c r="A598" s="17"/>
      <c r="C598" s="19"/>
      <c r="D598" s="19"/>
      <c r="E598" s="19"/>
      <c r="F598" s="19"/>
      <c r="G598" s="19"/>
      <c r="H598" s="19"/>
      <c r="I598" s="19"/>
      <c r="J598" s="19"/>
      <c r="K598" s="19"/>
      <c r="L598" s="19"/>
      <c r="M598" s="19"/>
      <c r="N598" s="19"/>
      <c r="O598" s="19"/>
      <c r="P598" s="19"/>
      <c r="Q598" s="19"/>
      <c r="R598" s="17"/>
    </row>
    <row r="599" spans="1:18">
      <c r="A599" s="17"/>
      <c r="C599" s="19"/>
      <c r="D599" s="19"/>
      <c r="E599" s="19"/>
      <c r="F599" s="19"/>
      <c r="G599" s="19"/>
      <c r="H599" s="19"/>
      <c r="I599" s="19"/>
      <c r="J599" s="19"/>
      <c r="K599" s="19"/>
      <c r="L599" s="19"/>
      <c r="M599" s="19"/>
      <c r="N599" s="19"/>
      <c r="O599" s="19"/>
      <c r="P599" s="19"/>
      <c r="Q599" s="19"/>
      <c r="R599" s="17"/>
    </row>
    <row r="600" spans="1:18">
      <c r="A600" s="17"/>
      <c r="C600" s="19"/>
      <c r="D600" s="19"/>
      <c r="E600" s="19"/>
      <c r="F600" s="19"/>
      <c r="G600" s="19"/>
      <c r="H600" s="19"/>
      <c r="I600" s="19"/>
      <c r="J600" s="19"/>
      <c r="K600" s="19"/>
      <c r="L600" s="19"/>
      <c r="M600" s="19"/>
      <c r="N600" s="19"/>
      <c r="O600" s="19"/>
      <c r="P600" s="19"/>
      <c r="Q600" s="19"/>
      <c r="R600" s="17"/>
    </row>
    <row r="601" spans="1:18">
      <c r="A601" s="17"/>
      <c r="C601" s="19"/>
      <c r="D601" s="19"/>
      <c r="E601" s="19"/>
      <c r="F601" s="19"/>
      <c r="G601" s="19"/>
      <c r="H601" s="19"/>
      <c r="I601" s="19"/>
      <c r="J601" s="19"/>
      <c r="K601" s="19"/>
      <c r="L601" s="19"/>
      <c r="M601" s="19"/>
      <c r="N601" s="19"/>
      <c r="O601" s="19"/>
      <c r="P601" s="19"/>
      <c r="Q601" s="19"/>
      <c r="R601" s="17"/>
    </row>
    <row r="602" spans="1:18">
      <c r="A602" s="17"/>
      <c r="C602" s="19"/>
      <c r="D602" s="19"/>
      <c r="E602" s="19"/>
      <c r="F602" s="19"/>
      <c r="G602" s="19"/>
      <c r="H602" s="19"/>
      <c r="I602" s="19"/>
      <c r="J602" s="19"/>
      <c r="K602" s="19"/>
      <c r="L602" s="19"/>
      <c r="M602" s="19"/>
      <c r="N602" s="19"/>
      <c r="O602" s="19"/>
      <c r="P602" s="19"/>
      <c r="Q602" s="19"/>
      <c r="R602" s="17"/>
    </row>
    <row r="603" spans="1:18">
      <c r="A603" s="17"/>
      <c r="C603" s="19"/>
      <c r="D603" s="19"/>
      <c r="E603" s="19"/>
      <c r="F603" s="19"/>
      <c r="G603" s="19"/>
      <c r="H603" s="19"/>
      <c r="I603" s="19"/>
      <c r="J603" s="19"/>
      <c r="K603" s="19"/>
      <c r="L603" s="19"/>
      <c r="M603" s="19"/>
      <c r="N603" s="19"/>
      <c r="O603" s="19"/>
      <c r="P603" s="19"/>
      <c r="Q603" s="19"/>
      <c r="R603" s="17"/>
    </row>
    <row r="604" spans="1:18">
      <c r="A604" s="17"/>
      <c r="C604" s="19"/>
      <c r="D604" s="19"/>
      <c r="E604" s="19"/>
      <c r="F604" s="19"/>
      <c r="G604" s="19"/>
      <c r="H604" s="19"/>
      <c r="I604" s="19"/>
      <c r="J604" s="19"/>
      <c r="K604" s="19"/>
      <c r="L604" s="19"/>
      <c r="M604" s="19"/>
      <c r="N604" s="19"/>
      <c r="O604" s="19"/>
      <c r="P604" s="19"/>
      <c r="Q604" s="19"/>
      <c r="R604" s="17"/>
    </row>
    <row r="605" spans="1:18">
      <c r="A605" s="17"/>
      <c r="C605" s="19"/>
      <c r="D605" s="19"/>
      <c r="E605" s="19"/>
      <c r="F605" s="19"/>
      <c r="G605" s="19"/>
      <c r="H605" s="19"/>
      <c r="I605" s="19"/>
      <c r="J605" s="19"/>
      <c r="K605" s="19"/>
      <c r="L605" s="19"/>
      <c r="M605" s="19"/>
      <c r="N605" s="19"/>
      <c r="O605" s="19"/>
      <c r="P605" s="19"/>
      <c r="Q605" s="19"/>
      <c r="R605" s="17"/>
    </row>
    <row r="606" spans="1:18">
      <c r="A606" s="17"/>
      <c r="C606" s="19"/>
      <c r="D606" s="19"/>
      <c r="E606" s="19"/>
      <c r="F606" s="19"/>
      <c r="G606" s="19"/>
      <c r="H606" s="19"/>
      <c r="I606" s="19"/>
      <c r="J606" s="19"/>
      <c r="K606" s="19"/>
      <c r="L606" s="19"/>
      <c r="M606" s="19"/>
      <c r="N606" s="19"/>
      <c r="O606" s="19"/>
      <c r="P606" s="19"/>
      <c r="Q606" s="19"/>
      <c r="R606" s="17"/>
    </row>
    <row r="607" spans="1:18">
      <c r="A607" s="17"/>
      <c r="C607" s="19"/>
      <c r="D607" s="19"/>
      <c r="E607" s="19"/>
      <c r="F607" s="19"/>
      <c r="G607" s="19"/>
      <c r="H607" s="19"/>
      <c r="I607" s="19"/>
      <c r="J607" s="19"/>
      <c r="K607" s="19"/>
      <c r="L607" s="19"/>
      <c r="M607" s="19"/>
      <c r="N607" s="19"/>
      <c r="O607" s="19"/>
      <c r="P607" s="19"/>
      <c r="Q607" s="19"/>
      <c r="R607" s="17"/>
    </row>
    <row r="608" spans="1:18">
      <c r="A608" s="17"/>
      <c r="C608" s="19"/>
      <c r="D608" s="19"/>
      <c r="E608" s="19"/>
      <c r="F608" s="19"/>
      <c r="G608" s="19"/>
      <c r="H608" s="19"/>
      <c r="I608" s="19"/>
      <c r="J608" s="19"/>
      <c r="K608" s="19"/>
      <c r="L608" s="19"/>
      <c r="M608" s="19"/>
      <c r="N608" s="19"/>
      <c r="O608" s="19"/>
      <c r="P608" s="19"/>
      <c r="Q608" s="19"/>
      <c r="R608" s="17"/>
    </row>
    <row r="609" spans="1:18">
      <c r="A609" s="17"/>
      <c r="C609" s="19"/>
      <c r="D609" s="19"/>
      <c r="E609" s="19"/>
      <c r="F609" s="19"/>
      <c r="G609" s="19"/>
      <c r="H609" s="19"/>
      <c r="I609" s="19"/>
      <c r="J609" s="19"/>
      <c r="K609" s="19"/>
      <c r="L609" s="19"/>
      <c r="M609" s="19"/>
      <c r="N609" s="19"/>
      <c r="O609" s="19"/>
      <c r="P609" s="19"/>
      <c r="Q609" s="19"/>
      <c r="R609" s="17"/>
    </row>
    <row r="610" spans="1:18">
      <c r="A610" s="17"/>
      <c r="C610" s="19"/>
      <c r="D610" s="19"/>
      <c r="E610" s="19"/>
      <c r="F610" s="19"/>
      <c r="G610" s="19"/>
      <c r="H610" s="19"/>
      <c r="I610" s="19"/>
      <c r="J610" s="19"/>
      <c r="K610" s="19"/>
      <c r="L610" s="19"/>
      <c r="M610" s="19"/>
      <c r="N610" s="19"/>
      <c r="O610" s="19"/>
      <c r="P610" s="19"/>
      <c r="Q610" s="19"/>
      <c r="R610" s="17"/>
    </row>
    <row r="611" spans="1:18">
      <c r="A611" s="17"/>
      <c r="C611" s="19"/>
      <c r="D611" s="19"/>
      <c r="E611" s="19"/>
      <c r="F611" s="19"/>
      <c r="G611" s="19"/>
      <c r="H611" s="19"/>
      <c r="I611" s="19"/>
      <c r="J611" s="19"/>
      <c r="K611" s="19"/>
      <c r="L611" s="19"/>
      <c r="M611" s="19"/>
      <c r="N611" s="19"/>
      <c r="O611" s="19"/>
      <c r="P611" s="19"/>
      <c r="Q611" s="19"/>
      <c r="R611" s="17"/>
    </row>
    <row r="612" spans="1:18">
      <c r="A612" s="17"/>
      <c r="C612" s="19"/>
      <c r="D612" s="19"/>
      <c r="E612" s="19"/>
      <c r="F612" s="19"/>
      <c r="G612" s="19"/>
      <c r="H612" s="19"/>
      <c r="I612" s="19"/>
      <c r="J612" s="19"/>
      <c r="K612" s="19"/>
      <c r="L612" s="19"/>
      <c r="M612" s="19"/>
      <c r="N612" s="19"/>
      <c r="O612" s="19"/>
      <c r="P612" s="19"/>
      <c r="Q612" s="19"/>
      <c r="R612" s="17"/>
    </row>
    <row r="613" spans="1:18">
      <c r="A613" s="17"/>
      <c r="C613" s="19"/>
      <c r="D613" s="19"/>
      <c r="E613" s="19"/>
      <c r="F613" s="19"/>
      <c r="G613" s="19"/>
      <c r="H613" s="19"/>
      <c r="I613" s="19"/>
      <c r="J613" s="19"/>
      <c r="K613" s="19"/>
      <c r="L613" s="19"/>
      <c r="M613" s="19"/>
      <c r="N613" s="19"/>
      <c r="O613" s="19"/>
      <c r="P613" s="19"/>
      <c r="Q613" s="19"/>
      <c r="R613" s="17"/>
    </row>
    <row r="614" spans="1:18">
      <c r="A614" s="17"/>
      <c r="C614" s="19"/>
      <c r="D614" s="19"/>
      <c r="E614" s="19"/>
      <c r="F614" s="19"/>
      <c r="G614" s="19"/>
      <c r="H614" s="19"/>
      <c r="I614" s="19"/>
      <c r="J614" s="19"/>
      <c r="K614" s="19"/>
      <c r="L614" s="19"/>
      <c r="M614" s="19"/>
      <c r="N614" s="19"/>
      <c r="O614" s="19"/>
      <c r="P614" s="19"/>
      <c r="Q614" s="19"/>
      <c r="R614" s="17"/>
    </row>
    <row r="615" spans="1:18">
      <c r="A615" s="17"/>
      <c r="C615" s="19"/>
      <c r="D615" s="19"/>
      <c r="E615" s="19"/>
      <c r="F615" s="19"/>
      <c r="G615" s="19"/>
      <c r="H615" s="19"/>
      <c r="I615" s="19"/>
      <c r="J615" s="19"/>
      <c r="K615" s="19"/>
      <c r="L615" s="19"/>
      <c r="M615" s="19"/>
      <c r="N615" s="19"/>
      <c r="O615" s="19"/>
      <c r="P615" s="19"/>
      <c r="Q615" s="19"/>
      <c r="R615" s="17"/>
    </row>
    <row r="616" spans="1:18">
      <c r="A616" s="17"/>
      <c r="C616" s="19"/>
      <c r="D616" s="19"/>
      <c r="E616" s="19"/>
      <c r="F616" s="19"/>
      <c r="G616" s="19"/>
      <c r="H616" s="19"/>
      <c r="I616" s="19"/>
      <c r="J616" s="19"/>
      <c r="K616" s="19"/>
      <c r="L616" s="19"/>
      <c r="M616" s="19"/>
      <c r="N616" s="19"/>
      <c r="O616" s="19"/>
      <c r="P616" s="19"/>
      <c r="Q616" s="19"/>
      <c r="R616" s="17"/>
    </row>
    <row r="617" spans="1:18">
      <c r="A617" s="17"/>
      <c r="C617" s="19"/>
      <c r="D617" s="19"/>
      <c r="E617" s="19"/>
      <c r="F617" s="19"/>
      <c r="G617" s="19"/>
      <c r="H617" s="19"/>
      <c r="I617" s="19"/>
      <c r="J617" s="19"/>
      <c r="K617" s="19"/>
      <c r="L617" s="19"/>
      <c r="M617" s="19"/>
      <c r="N617" s="19"/>
      <c r="O617" s="19"/>
      <c r="P617" s="19"/>
      <c r="Q617" s="19"/>
      <c r="R617" s="17"/>
    </row>
    <row r="618" spans="1:18">
      <c r="A618" s="17"/>
      <c r="C618" s="19"/>
      <c r="D618" s="19"/>
      <c r="E618" s="19"/>
      <c r="F618" s="19"/>
      <c r="G618" s="19"/>
      <c r="H618" s="19"/>
      <c r="I618" s="19"/>
      <c r="J618" s="19"/>
      <c r="K618" s="19"/>
      <c r="L618" s="19"/>
      <c r="M618" s="19"/>
      <c r="N618" s="19"/>
      <c r="O618" s="19"/>
      <c r="P618" s="19"/>
      <c r="Q618" s="19"/>
      <c r="R618" s="17"/>
    </row>
    <row r="619" spans="1:18">
      <c r="A619" s="17"/>
      <c r="C619" s="19"/>
      <c r="D619" s="19"/>
      <c r="E619" s="19"/>
      <c r="F619" s="19"/>
      <c r="G619" s="19"/>
      <c r="H619" s="19"/>
      <c r="I619" s="19"/>
      <c r="J619" s="19"/>
      <c r="K619" s="19"/>
      <c r="L619" s="19"/>
      <c r="M619" s="19"/>
      <c r="N619" s="19"/>
      <c r="O619" s="19"/>
      <c r="P619" s="19"/>
      <c r="Q619" s="19"/>
      <c r="R619" s="17"/>
    </row>
    <row r="620" spans="1:18">
      <c r="A620" s="17"/>
      <c r="C620" s="19"/>
      <c r="D620" s="19"/>
      <c r="E620" s="19"/>
      <c r="F620" s="19"/>
      <c r="G620" s="19"/>
      <c r="H620" s="19"/>
      <c r="I620" s="19"/>
      <c r="J620" s="19"/>
      <c r="K620" s="19"/>
      <c r="L620" s="19"/>
      <c r="M620" s="19"/>
      <c r="N620" s="19"/>
      <c r="O620" s="19"/>
      <c r="P620" s="19"/>
      <c r="Q620" s="19"/>
      <c r="R620" s="17"/>
    </row>
    <row r="621" spans="1:18">
      <c r="A621" s="17"/>
      <c r="C621" s="19"/>
      <c r="D621" s="19"/>
      <c r="E621" s="19"/>
      <c r="F621" s="19"/>
      <c r="G621" s="19"/>
      <c r="H621" s="19"/>
      <c r="I621" s="19"/>
      <c r="J621" s="19"/>
      <c r="K621" s="19"/>
      <c r="L621" s="19"/>
      <c r="M621" s="19"/>
      <c r="N621" s="19"/>
      <c r="O621" s="19"/>
      <c r="P621" s="19"/>
      <c r="Q621" s="19"/>
      <c r="R621" s="17"/>
    </row>
    <row r="622" spans="1:18">
      <c r="A622" s="17"/>
      <c r="C622" s="19"/>
      <c r="D622" s="19"/>
      <c r="E622" s="19"/>
      <c r="F622" s="19"/>
      <c r="G622" s="19"/>
      <c r="H622" s="19"/>
      <c r="I622" s="19"/>
      <c r="J622" s="19"/>
      <c r="K622" s="19"/>
      <c r="L622" s="19"/>
      <c r="M622" s="19"/>
      <c r="N622" s="19"/>
      <c r="O622" s="19"/>
      <c r="P622" s="19"/>
      <c r="Q622" s="19"/>
      <c r="R622" s="17"/>
    </row>
    <row r="623" spans="1:18">
      <c r="A623" s="17"/>
      <c r="C623" s="19"/>
      <c r="D623" s="19"/>
      <c r="E623" s="19"/>
      <c r="F623" s="19"/>
      <c r="G623" s="19"/>
      <c r="H623" s="19"/>
      <c r="I623" s="19"/>
      <c r="J623" s="19"/>
      <c r="K623" s="19"/>
      <c r="L623" s="19"/>
      <c r="M623" s="19"/>
      <c r="N623" s="19"/>
      <c r="O623" s="19"/>
      <c r="P623" s="19"/>
      <c r="Q623" s="19"/>
      <c r="R623" s="17"/>
    </row>
    <row r="624" spans="1:18">
      <c r="A624" s="17"/>
      <c r="C624" s="19"/>
      <c r="D624" s="19"/>
      <c r="E624" s="19"/>
      <c r="F624" s="19"/>
      <c r="G624" s="19"/>
      <c r="H624" s="19"/>
      <c r="I624" s="19"/>
      <c r="J624" s="19"/>
      <c r="K624" s="19"/>
      <c r="L624" s="19"/>
      <c r="M624" s="19"/>
      <c r="N624" s="19"/>
      <c r="O624" s="19"/>
      <c r="P624" s="19"/>
      <c r="Q624" s="19"/>
      <c r="R624" s="17"/>
    </row>
    <row r="625" spans="1:18">
      <c r="A625" s="17"/>
      <c r="C625" s="19"/>
      <c r="D625" s="19"/>
      <c r="E625" s="19"/>
      <c r="F625" s="19"/>
      <c r="G625" s="19"/>
      <c r="H625" s="19"/>
      <c r="I625" s="19"/>
      <c r="J625" s="19"/>
      <c r="K625" s="19"/>
      <c r="L625" s="19"/>
      <c r="M625" s="19"/>
      <c r="N625" s="19"/>
      <c r="O625" s="19"/>
      <c r="P625" s="19"/>
      <c r="Q625" s="19"/>
      <c r="R625" s="17"/>
    </row>
    <row r="626" spans="1:18">
      <c r="A626" s="17"/>
      <c r="C626" s="19"/>
      <c r="D626" s="19"/>
      <c r="E626" s="19"/>
      <c r="F626" s="19"/>
      <c r="G626" s="19"/>
      <c r="H626" s="19"/>
      <c r="I626" s="19"/>
      <c r="J626" s="19"/>
      <c r="K626" s="19"/>
      <c r="L626" s="19"/>
      <c r="M626" s="19"/>
      <c r="N626" s="19"/>
      <c r="O626" s="19"/>
      <c r="P626" s="19"/>
      <c r="Q626" s="19"/>
      <c r="R626" s="17"/>
    </row>
    <row r="627" spans="1:18">
      <c r="A627" s="17"/>
      <c r="C627" s="19"/>
      <c r="D627" s="19"/>
      <c r="E627" s="19"/>
      <c r="F627" s="19"/>
      <c r="G627" s="19"/>
      <c r="H627" s="19"/>
      <c r="I627" s="19"/>
      <c r="J627" s="19"/>
      <c r="K627" s="19"/>
      <c r="L627" s="19"/>
      <c r="M627" s="19"/>
      <c r="N627" s="19"/>
      <c r="O627" s="19"/>
      <c r="P627" s="19"/>
      <c r="Q627" s="19"/>
      <c r="R627" s="17"/>
    </row>
    <row r="628" spans="1:18">
      <c r="A628" s="17"/>
      <c r="C628" s="19"/>
      <c r="D628" s="19"/>
      <c r="E628" s="19"/>
      <c r="F628" s="19"/>
      <c r="G628" s="19"/>
      <c r="H628" s="19"/>
      <c r="I628" s="19"/>
      <c r="J628" s="19"/>
      <c r="K628" s="19"/>
      <c r="L628" s="19"/>
      <c r="M628" s="19"/>
      <c r="N628" s="19"/>
      <c r="O628" s="19"/>
      <c r="P628" s="19"/>
      <c r="Q628" s="19"/>
      <c r="R628" s="17"/>
    </row>
    <row r="629" spans="1:18">
      <c r="A629" s="17"/>
      <c r="C629" s="19"/>
      <c r="D629" s="19"/>
      <c r="E629" s="19"/>
      <c r="F629" s="19"/>
      <c r="G629" s="19"/>
      <c r="H629" s="19"/>
      <c r="I629" s="19"/>
      <c r="J629" s="19"/>
      <c r="K629" s="19"/>
      <c r="L629" s="19"/>
      <c r="M629" s="19"/>
      <c r="N629" s="19"/>
      <c r="O629" s="19"/>
      <c r="P629" s="19"/>
      <c r="Q629" s="19"/>
      <c r="R629" s="17"/>
    </row>
    <row r="630" spans="1:18">
      <c r="A630" s="17"/>
      <c r="C630" s="19"/>
      <c r="D630" s="19"/>
      <c r="E630" s="19"/>
      <c r="F630" s="19"/>
      <c r="G630" s="19"/>
      <c r="H630" s="19"/>
      <c r="I630" s="19"/>
      <c r="J630" s="19"/>
      <c r="K630" s="19"/>
      <c r="L630" s="19"/>
      <c r="M630" s="19"/>
      <c r="N630" s="19"/>
      <c r="O630" s="19"/>
      <c r="P630" s="19"/>
      <c r="Q630" s="19"/>
      <c r="R630" s="17"/>
    </row>
    <row r="631" spans="1:18">
      <c r="A631" s="17"/>
      <c r="C631" s="19"/>
      <c r="D631" s="19"/>
      <c r="E631" s="19"/>
      <c r="F631" s="19"/>
      <c r="G631" s="19"/>
      <c r="H631" s="19"/>
      <c r="I631" s="19"/>
      <c r="J631" s="19"/>
      <c r="K631" s="19"/>
      <c r="L631" s="19"/>
      <c r="M631" s="19"/>
      <c r="N631" s="19"/>
      <c r="O631" s="19"/>
      <c r="P631" s="19"/>
      <c r="Q631" s="19"/>
      <c r="R631" s="17"/>
    </row>
    <row r="632" spans="1:18">
      <c r="A632" s="17"/>
      <c r="C632" s="19"/>
      <c r="D632" s="19"/>
      <c r="E632" s="19"/>
      <c r="F632" s="19"/>
      <c r="G632" s="19"/>
      <c r="H632" s="19"/>
      <c r="I632" s="19"/>
      <c r="J632" s="19"/>
      <c r="K632" s="19"/>
      <c r="L632" s="19"/>
      <c r="M632" s="19"/>
      <c r="N632" s="19"/>
      <c r="O632" s="19"/>
      <c r="P632" s="19"/>
      <c r="Q632" s="19"/>
      <c r="R632" s="17"/>
    </row>
    <row r="633" spans="1:18">
      <c r="A633" s="17"/>
      <c r="C633" s="19"/>
      <c r="D633" s="19"/>
      <c r="E633" s="19"/>
      <c r="F633" s="19"/>
      <c r="G633" s="19"/>
      <c r="H633" s="19"/>
      <c r="I633" s="19"/>
      <c r="J633" s="19"/>
      <c r="K633" s="19"/>
      <c r="L633" s="19"/>
      <c r="M633" s="19"/>
      <c r="N633" s="19"/>
      <c r="O633" s="19"/>
      <c r="P633" s="19"/>
      <c r="Q633" s="19"/>
      <c r="R633" s="17"/>
    </row>
    <row r="634" spans="1:18">
      <c r="A634" s="17"/>
      <c r="C634" s="19"/>
      <c r="D634" s="19"/>
      <c r="E634" s="19"/>
      <c r="F634" s="19"/>
      <c r="G634" s="19"/>
      <c r="H634" s="19"/>
      <c r="I634" s="19"/>
      <c r="J634" s="19"/>
      <c r="K634" s="19"/>
      <c r="L634" s="19"/>
      <c r="M634" s="19"/>
      <c r="N634" s="19"/>
      <c r="O634" s="19"/>
      <c r="P634" s="19"/>
      <c r="Q634" s="19"/>
      <c r="R634" s="17"/>
    </row>
    <row r="635" spans="1:18">
      <c r="A635" s="17"/>
      <c r="C635" s="19"/>
      <c r="D635" s="19"/>
      <c r="E635" s="19"/>
      <c r="F635" s="19"/>
      <c r="G635" s="19"/>
      <c r="H635" s="19"/>
      <c r="I635" s="19"/>
      <c r="J635" s="19"/>
      <c r="K635" s="19"/>
      <c r="L635" s="19"/>
      <c r="M635" s="19"/>
      <c r="N635" s="19"/>
      <c r="O635" s="19"/>
      <c r="P635" s="19"/>
      <c r="Q635" s="19"/>
      <c r="R635" s="17"/>
    </row>
    <row r="636" spans="1:18">
      <c r="A636" s="17"/>
      <c r="C636" s="19"/>
      <c r="D636" s="19"/>
      <c r="E636" s="19"/>
      <c r="F636" s="19"/>
      <c r="G636" s="19"/>
      <c r="H636" s="19"/>
      <c r="I636" s="19"/>
      <c r="J636" s="19"/>
      <c r="K636" s="19"/>
      <c r="L636" s="19"/>
      <c r="M636" s="19"/>
      <c r="N636" s="19"/>
      <c r="O636" s="19"/>
      <c r="P636" s="19"/>
      <c r="Q636" s="19"/>
      <c r="R636" s="17"/>
    </row>
    <row r="637" spans="1:18">
      <c r="A637" s="17"/>
      <c r="C637" s="19"/>
      <c r="D637" s="19"/>
      <c r="E637" s="19"/>
      <c r="F637" s="19"/>
      <c r="G637" s="19"/>
      <c r="H637" s="19"/>
      <c r="I637" s="19"/>
      <c r="J637" s="19"/>
      <c r="K637" s="19"/>
      <c r="L637" s="19"/>
      <c r="M637" s="19"/>
      <c r="N637" s="19"/>
      <c r="O637" s="19"/>
      <c r="P637" s="19"/>
      <c r="Q637" s="19"/>
      <c r="R637" s="17"/>
    </row>
    <row r="638" spans="1:18">
      <c r="A638" s="17"/>
      <c r="C638" s="19"/>
      <c r="D638" s="19"/>
      <c r="E638" s="19"/>
      <c r="F638" s="19"/>
      <c r="G638" s="19"/>
      <c r="H638" s="19"/>
      <c r="I638" s="19"/>
      <c r="J638" s="19"/>
      <c r="K638" s="19"/>
      <c r="L638" s="19"/>
      <c r="M638" s="19"/>
      <c r="N638" s="19"/>
      <c r="O638" s="19"/>
      <c r="P638" s="19"/>
      <c r="Q638" s="19"/>
      <c r="R638" s="17"/>
    </row>
    <row r="639" spans="1:18">
      <c r="A639" s="17"/>
      <c r="C639" s="19"/>
      <c r="D639" s="19"/>
      <c r="E639" s="19"/>
      <c r="F639" s="19"/>
      <c r="G639" s="19"/>
      <c r="H639" s="19"/>
      <c r="I639" s="19"/>
      <c r="J639" s="19"/>
      <c r="K639" s="19"/>
      <c r="L639" s="19"/>
      <c r="M639" s="19"/>
      <c r="N639" s="19"/>
      <c r="O639" s="19"/>
      <c r="P639" s="19"/>
      <c r="Q639" s="19"/>
      <c r="R639" s="17"/>
    </row>
    <row r="640" spans="1:18">
      <c r="A640" s="17"/>
      <c r="C640" s="19"/>
      <c r="D640" s="19"/>
      <c r="E640" s="19"/>
      <c r="F640" s="19"/>
      <c r="G640" s="19"/>
      <c r="H640" s="19"/>
      <c r="I640" s="19"/>
      <c r="J640" s="19"/>
      <c r="K640" s="19"/>
      <c r="L640" s="19"/>
      <c r="M640" s="19"/>
      <c r="N640" s="19"/>
      <c r="O640" s="19"/>
      <c r="P640" s="19"/>
      <c r="Q640" s="19"/>
      <c r="R640" s="17"/>
    </row>
    <row r="641" spans="1:18">
      <c r="A641" s="17"/>
      <c r="C641" s="19"/>
      <c r="D641" s="19"/>
      <c r="E641" s="19"/>
      <c r="F641" s="19"/>
      <c r="G641" s="19"/>
      <c r="H641" s="19"/>
      <c r="I641" s="19"/>
      <c r="J641" s="19"/>
      <c r="K641" s="19"/>
      <c r="L641" s="19"/>
      <c r="M641" s="19"/>
      <c r="N641" s="19"/>
      <c r="O641" s="19"/>
      <c r="P641" s="19"/>
      <c r="Q641" s="19"/>
      <c r="R641" s="17"/>
    </row>
    <row r="642" spans="1:18">
      <c r="A642" s="17"/>
      <c r="C642" s="19"/>
      <c r="D642" s="19"/>
      <c r="E642" s="19"/>
      <c r="F642" s="19"/>
      <c r="G642" s="19"/>
      <c r="H642" s="19"/>
      <c r="I642" s="19"/>
      <c r="J642" s="19"/>
      <c r="K642" s="19"/>
      <c r="L642" s="19"/>
      <c r="M642" s="19"/>
      <c r="N642" s="19"/>
      <c r="O642" s="19"/>
      <c r="P642" s="19"/>
      <c r="Q642" s="19"/>
      <c r="R642" s="17"/>
    </row>
    <row r="643" spans="1:18">
      <c r="A643" s="17"/>
      <c r="C643" s="19"/>
      <c r="D643" s="19"/>
      <c r="E643" s="19"/>
      <c r="F643" s="19"/>
      <c r="G643" s="19"/>
      <c r="H643" s="19"/>
      <c r="I643" s="19"/>
      <c r="J643" s="19"/>
      <c r="K643" s="19"/>
      <c r="L643" s="19"/>
      <c r="M643" s="19"/>
      <c r="N643" s="19"/>
      <c r="O643" s="19"/>
      <c r="P643" s="19"/>
      <c r="Q643" s="19"/>
      <c r="R643" s="17"/>
    </row>
    <row r="644" spans="1:18">
      <c r="A644" s="17"/>
      <c r="C644" s="19"/>
      <c r="D644" s="19"/>
      <c r="E644" s="19"/>
      <c r="F644" s="19"/>
      <c r="G644" s="19"/>
      <c r="H644" s="19"/>
      <c r="I644" s="19"/>
      <c r="J644" s="19"/>
      <c r="K644" s="19"/>
      <c r="L644" s="19"/>
      <c r="M644" s="19"/>
      <c r="N644" s="19"/>
      <c r="O644" s="19"/>
      <c r="P644" s="19"/>
      <c r="Q644" s="19"/>
      <c r="R644" s="17"/>
    </row>
    <row r="645" spans="1:18">
      <c r="A645" s="17"/>
      <c r="C645" s="19"/>
      <c r="D645" s="19"/>
      <c r="E645" s="19"/>
      <c r="F645" s="19"/>
      <c r="G645" s="19"/>
      <c r="H645" s="19"/>
      <c r="I645" s="19"/>
      <c r="J645" s="19"/>
      <c r="K645" s="19"/>
      <c r="L645" s="19"/>
      <c r="M645" s="19"/>
      <c r="N645" s="19"/>
      <c r="O645" s="19"/>
      <c r="P645" s="19"/>
      <c r="Q645" s="19"/>
      <c r="R645" s="17"/>
    </row>
    <row r="646" spans="1:18">
      <c r="A646" s="17"/>
      <c r="C646" s="19"/>
      <c r="D646" s="19"/>
      <c r="E646" s="19"/>
      <c r="F646" s="19"/>
      <c r="G646" s="19"/>
      <c r="H646" s="19"/>
      <c r="I646" s="19"/>
      <c r="J646" s="19"/>
      <c r="K646" s="19"/>
      <c r="L646" s="19"/>
      <c r="M646" s="19"/>
      <c r="N646" s="19"/>
      <c r="O646" s="19"/>
      <c r="P646" s="19"/>
      <c r="Q646" s="19"/>
      <c r="R646" s="17"/>
    </row>
    <row r="647" spans="1:18">
      <c r="A647" s="17"/>
      <c r="C647" s="19"/>
      <c r="D647" s="19"/>
      <c r="E647" s="19"/>
      <c r="F647" s="19"/>
      <c r="G647" s="19"/>
      <c r="H647" s="19"/>
      <c r="I647" s="19"/>
      <c r="J647" s="19"/>
      <c r="K647" s="19"/>
      <c r="L647" s="19"/>
      <c r="M647" s="19"/>
      <c r="N647" s="19"/>
      <c r="O647" s="19"/>
      <c r="P647" s="19"/>
      <c r="Q647" s="19"/>
      <c r="R647" s="17"/>
    </row>
    <row r="648" spans="1:18">
      <c r="A648" s="17"/>
      <c r="C648" s="19"/>
      <c r="D648" s="19"/>
      <c r="E648" s="19"/>
      <c r="F648" s="19"/>
      <c r="G648" s="19"/>
      <c r="H648" s="19"/>
      <c r="I648" s="19"/>
      <c r="J648" s="19"/>
      <c r="K648" s="19"/>
      <c r="L648" s="19"/>
      <c r="M648" s="19"/>
      <c r="N648" s="19"/>
      <c r="O648" s="19"/>
      <c r="P648" s="19"/>
      <c r="Q648" s="19"/>
      <c r="R648" s="17"/>
    </row>
    <row r="649" spans="1:18">
      <c r="A649" s="17"/>
      <c r="C649" s="19"/>
      <c r="D649" s="19"/>
      <c r="E649" s="19"/>
      <c r="F649" s="19"/>
      <c r="G649" s="19"/>
      <c r="H649" s="19"/>
      <c r="I649" s="19"/>
      <c r="J649" s="19"/>
      <c r="K649" s="19"/>
      <c r="L649" s="19"/>
      <c r="M649" s="19"/>
      <c r="N649" s="19"/>
      <c r="O649" s="19"/>
      <c r="P649" s="19"/>
      <c r="Q649" s="19"/>
      <c r="R649" s="17"/>
    </row>
    <row r="650" spans="1:18">
      <c r="A650" s="17"/>
      <c r="C650" s="19"/>
      <c r="D650" s="19"/>
      <c r="E650" s="19"/>
      <c r="F650" s="19"/>
      <c r="G650" s="19"/>
      <c r="H650" s="19"/>
      <c r="I650" s="19"/>
      <c r="J650" s="19"/>
      <c r="K650" s="19"/>
      <c r="L650" s="19"/>
      <c r="M650" s="19"/>
      <c r="N650" s="19"/>
      <c r="O650" s="19"/>
      <c r="P650" s="19"/>
      <c r="Q650" s="19"/>
      <c r="R650" s="17"/>
    </row>
    <row r="651" spans="1:18">
      <c r="A651" s="17"/>
      <c r="C651" s="19"/>
      <c r="D651" s="19"/>
      <c r="E651" s="19"/>
      <c r="F651" s="19"/>
      <c r="G651" s="19"/>
      <c r="H651" s="19"/>
      <c r="I651" s="19"/>
      <c r="J651" s="19"/>
      <c r="K651" s="19"/>
      <c r="L651" s="19"/>
      <c r="M651" s="19"/>
      <c r="N651" s="19"/>
      <c r="O651" s="19"/>
      <c r="P651" s="19"/>
      <c r="Q651" s="19"/>
      <c r="R651" s="17"/>
    </row>
    <row r="652" spans="1:18">
      <c r="A652" s="17"/>
      <c r="C652" s="19"/>
      <c r="D652" s="19"/>
      <c r="E652" s="19"/>
      <c r="F652" s="19"/>
      <c r="G652" s="19"/>
      <c r="H652" s="19"/>
      <c r="I652" s="19"/>
      <c r="J652" s="19"/>
      <c r="K652" s="19"/>
      <c r="L652" s="19"/>
      <c r="M652" s="19"/>
      <c r="N652" s="19"/>
      <c r="O652" s="19"/>
      <c r="P652" s="19"/>
      <c r="Q652" s="19"/>
      <c r="R652" s="17"/>
    </row>
    <row r="653" spans="1:18">
      <c r="A653" s="17"/>
      <c r="C653" s="19"/>
      <c r="D653" s="19"/>
      <c r="E653" s="19"/>
      <c r="F653" s="19"/>
      <c r="G653" s="19"/>
      <c r="H653" s="19"/>
      <c r="I653" s="19"/>
      <c r="J653" s="19"/>
      <c r="K653" s="19"/>
      <c r="L653" s="19"/>
      <c r="M653" s="19"/>
      <c r="N653" s="19"/>
      <c r="O653" s="19"/>
      <c r="P653" s="19"/>
      <c r="Q653" s="19"/>
      <c r="R653" s="17"/>
    </row>
    <row r="654" spans="1:18">
      <c r="A654" s="17"/>
      <c r="C654" s="19"/>
      <c r="D654" s="19"/>
      <c r="E654" s="19"/>
      <c r="F654" s="19"/>
      <c r="G654" s="19"/>
      <c r="H654" s="19"/>
      <c r="I654" s="19"/>
      <c r="J654" s="19"/>
      <c r="K654" s="19"/>
      <c r="L654" s="19"/>
      <c r="M654" s="19"/>
      <c r="N654" s="19"/>
      <c r="O654" s="19"/>
      <c r="P654" s="19"/>
      <c r="Q654" s="19"/>
      <c r="R654" s="17"/>
    </row>
    <row r="655" spans="1:18">
      <c r="A655" s="17"/>
      <c r="C655" s="19"/>
      <c r="D655" s="19"/>
      <c r="E655" s="19"/>
      <c r="F655" s="19"/>
      <c r="G655" s="19"/>
      <c r="H655" s="19"/>
      <c r="I655" s="19"/>
      <c r="J655" s="19"/>
      <c r="K655" s="19"/>
      <c r="L655" s="19"/>
      <c r="M655" s="19"/>
      <c r="N655" s="19"/>
      <c r="O655" s="19"/>
      <c r="P655" s="19"/>
      <c r="Q655" s="19"/>
      <c r="R655" s="17"/>
    </row>
    <row r="656" spans="1:18">
      <c r="A656" s="17"/>
      <c r="C656" s="19"/>
      <c r="D656" s="19"/>
      <c r="E656" s="19"/>
      <c r="F656" s="19"/>
      <c r="G656" s="19"/>
      <c r="H656" s="19"/>
      <c r="I656" s="19"/>
      <c r="J656" s="19"/>
      <c r="K656" s="19"/>
      <c r="L656" s="19"/>
      <c r="M656" s="19"/>
      <c r="N656" s="19"/>
      <c r="O656" s="19"/>
      <c r="P656" s="19"/>
      <c r="Q656" s="19"/>
      <c r="R656" s="17"/>
    </row>
    <row r="657" spans="1:18">
      <c r="A657" s="17"/>
      <c r="C657" s="19"/>
      <c r="D657" s="19"/>
      <c r="E657" s="19"/>
      <c r="F657" s="19"/>
      <c r="G657" s="19"/>
      <c r="H657" s="19"/>
      <c r="I657" s="19"/>
      <c r="J657" s="19"/>
      <c r="K657" s="19"/>
      <c r="L657" s="19"/>
      <c r="M657" s="19"/>
      <c r="N657" s="19"/>
      <c r="O657" s="19"/>
      <c r="P657" s="19"/>
      <c r="Q657" s="19"/>
      <c r="R657" s="17"/>
    </row>
    <row r="658" spans="1:18">
      <c r="A658" s="17"/>
      <c r="C658" s="19"/>
      <c r="D658" s="19"/>
      <c r="E658" s="19"/>
      <c r="F658" s="19"/>
      <c r="G658" s="19"/>
      <c r="H658" s="19"/>
      <c r="I658" s="19"/>
      <c r="J658" s="19"/>
      <c r="K658" s="19"/>
      <c r="L658" s="19"/>
      <c r="M658" s="19"/>
      <c r="N658" s="19"/>
      <c r="O658" s="19"/>
      <c r="P658" s="19"/>
      <c r="Q658" s="19"/>
      <c r="R658" s="17"/>
    </row>
    <row r="659" spans="1:18">
      <c r="A659" s="17"/>
      <c r="C659" s="19"/>
      <c r="D659" s="19"/>
      <c r="E659" s="19"/>
      <c r="F659" s="19"/>
      <c r="G659" s="19"/>
      <c r="H659" s="19"/>
      <c r="I659" s="19"/>
      <c r="J659" s="19"/>
      <c r="K659" s="19"/>
      <c r="L659" s="19"/>
      <c r="M659" s="19"/>
      <c r="N659" s="19"/>
      <c r="O659" s="19"/>
      <c r="P659" s="19"/>
      <c r="Q659" s="19"/>
      <c r="R659" s="17"/>
    </row>
    <row r="660" spans="1:18">
      <c r="A660" s="17"/>
      <c r="C660" s="19"/>
      <c r="D660" s="19"/>
      <c r="E660" s="19"/>
      <c r="F660" s="19"/>
      <c r="G660" s="19"/>
      <c r="H660" s="19"/>
      <c r="I660" s="19"/>
      <c r="J660" s="19"/>
      <c r="K660" s="19"/>
      <c r="L660" s="19"/>
      <c r="M660" s="19"/>
      <c r="N660" s="19"/>
      <c r="O660" s="19"/>
      <c r="P660" s="19"/>
      <c r="Q660" s="19"/>
      <c r="R660" s="17"/>
    </row>
    <row r="661" spans="1:18">
      <c r="A661" s="17"/>
      <c r="C661" s="19"/>
      <c r="D661" s="19"/>
      <c r="E661" s="19"/>
      <c r="F661" s="19"/>
      <c r="G661" s="19"/>
      <c r="H661" s="19"/>
      <c r="I661" s="19"/>
      <c r="J661" s="19"/>
      <c r="K661" s="19"/>
      <c r="L661" s="19"/>
      <c r="M661" s="19"/>
      <c r="N661" s="19"/>
      <c r="O661" s="19"/>
      <c r="P661" s="19"/>
      <c r="Q661" s="19"/>
      <c r="R661" s="17"/>
    </row>
    <row r="662" spans="1:18">
      <c r="A662" s="17"/>
      <c r="C662" s="19"/>
      <c r="D662" s="19"/>
      <c r="E662" s="19"/>
      <c r="F662" s="19"/>
      <c r="G662" s="19"/>
      <c r="H662" s="19"/>
      <c r="I662" s="19"/>
      <c r="J662" s="19"/>
      <c r="K662" s="19"/>
      <c r="L662" s="19"/>
      <c r="M662" s="19"/>
      <c r="N662" s="19"/>
      <c r="O662" s="19"/>
      <c r="P662" s="19"/>
      <c r="Q662" s="19"/>
      <c r="R662" s="17"/>
    </row>
    <row r="663" spans="1:18">
      <c r="A663" s="17"/>
      <c r="C663" s="19"/>
      <c r="D663" s="19"/>
      <c r="E663" s="19"/>
      <c r="F663" s="19"/>
      <c r="G663" s="19"/>
      <c r="H663" s="19"/>
      <c r="I663" s="19"/>
      <c r="J663" s="19"/>
      <c r="K663" s="19"/>
      <c r="L663" s="19"/>
      <c r="M663" s="19"/>
      <c r="N663" s="19"/>
      <c r="O663" s="19"/>
      <c r="P663" s="19"/>
      <c r="Q663" s="19"/>
      <c r="R663" s="17"/>
    </row>
    <row r="664" spans="1:18">
      <c r="A664" s="17"/>
      <c r="C664" s="19"/>
      <c r="D664" s="19"/>
      <c r="E664" s="19"/>
      <c r="F664" s="19"/>
      <c r="G664" s="19"/>
      <c r="H664" s="19"/>
      <c r="I664" s="19"/>
      <c r="J664" s="19"/>
      <c r="K664" s="19"/>
      <c r="L664" s="19"/>
      <c r="M664" s="19"/>
      <c r="N664" s="19"/>
      <c r="O664" s="19"/>
      <c r="P664" s="19"/>
      <c r="Q664" s="19"/>
      <c r="R664" s="17"/>
    </row>
    <row r="665" spans="1:18">
      <c r="A665" s="17"/>
      <c r="C665" s="19"/>
      <c r="D665" s="19"/>
      <c r="E665" s="19"/>
      <c r="F665" s="19"/>
      <c r="G665" s="19"/>
      <c r="H665" s="19"/>
      <c r="I665" s="19"/>
      <c r="J665" s="19"/>
      <c r="K665" s="19"/>
      <c r="L665" s="19"/>
      <c r="M665" s="19"/>
      <c r="N665" s="19"/>
      <c r="O665" s="19"/>
      <c r="P665" s="19"/>
      <c r="Q665" s="19"/>
      <c r="R665" s="17"/>
    </row>
    <row r="666" spans="1:18">
      <c r="A666" s="17"/>
      <c r="C666" s="19"/>
      <c r="D666" s="19"/>
      <c r="E666" s="19"/>
      <c r="F666" s="19"/>
      <c r="G666" s="19"/>
      <c r="H666" s="19"/>
      <c r="I666" s="19"/>
      <c r="J666" s="19"/>
      <c r="K666" s="19"/>
      <c r="L666" s="19"/>
      <c r="M666" s="19"/>
      <c r="N666" s="19"/>
      <c r="O666" s="19"/>
      <c r="P666" s="19"/>
      <c r="Q666" s="19"/>
      <c r="R666" s="17"/>
    </row>
    <row r="667" spans="1:18">
      <c r="A667" s="17"/>
      <c r="C667" s="19"/>
      <c r="D667" s="19"/>
      <c r="E667" s="19"/>
      <c r="F667" s="19"/>
      <c r="G667" s="19"/>
      <c r="H667" s="19"/>
      <c r="I667" s="19"/>
      <c r="J667" s="19"/>
      <c r="K667" s="19"/>
      <c r="L667" s="19"/>
      <c r="M667" s="19"/>
      <c r="N667" s="19"/>
      <c r="O667" s="19"/>
      <c r="P667" s="19"/>
      <c r="Q667" s="19"/>
      <c r="R667" s="17"/>
    </row>
    <row r="668" spans="1:18">
      <c r="A668" s="17"/>
      <c r="C668" s="19"/>
      <c r="D668" s="19"/>
      <c r="E668" s="19"/>
      <c r="F668" s="19"/>
      <c r="G668" s="19"/>
      <c r="H668" s="19"/>
      <c r="I668" s="19"/>
      <c r="J668" s="19"/>
      <c r="K668" s="19"/>
      <c r="L668" s="19"/>
      <c r="M668" s="19"/>
      <c r="N668" s="19"/>
      <c r="O668" s="19"/>
      <c r="P668" s="19"/>
      <c r="Q668" s="19"/>
      <c r="R668" s="17"/>
    </row>
    <row r="669" spans="1:18">
      <c r="A669" s="17"/>
      <c r="C669" s="19"/>
      <c r="D669" s="19"/>
      <c r="E669" s="19"/>
      <c r="F669" s="19"/>
      <c r="G669" s="19"/>
      <c r="H669" s="19"/>
      <c r="I669" s="19"/>
      <c r="J669" s="19"/>
      <c r="K669" s="19"/>
      <c r="L669" s="19"/>
      <c r="M669" s="19"/>
      <c r="N669" s="19"/>
      <c r="O669" s="19"/>
      <c r="P669" s="19"/>
      <c r="Q669" s="19"/>
      <c r="R669" s="17"/>
    </row>
    <row r="670" spans="1:18">
      <c r="A670" s="17"/>
      <c r="C670" s="19"/>
      <c r="D670" s="19"/>
      <c r="E670" s="19"/>
      <c r="F670" s="19"/>
      <c r="G670" s="19"/>
      <c r="H670" s="19"/>
      <c r="I670" s="19"/>
      <c r="J670" s="19"/>
      <c r="K670" s="19"/>
      <c r="L670" s="19"/>
      <c r="M670" s="19"/>
      <c r="N670" s="19"/>
      <c r="O670" s="19"/>
      <c r="P670" s="19"/>
      <c r="Q670" s="19"/>
      <c r="R670" s="17"/>
    </row>
    <row r="671" spans="1:18">
      <c r="A671" s="17"/>
      <c r="C671" s="19"/>
      <c r="D671" s="19"/>
      <c r="E671" s="19"/>
      <c r="F671" s="19"/>
      <c r="G671" s="19"/>
      <c r="H671" s="19"/>
      <c r="I671" s="19"/>
      <c r="J671" s="19"/>
      <c r="K671" s="19"/>
      <c r="L671" s="19"/>
      <c r="M671" s="19"/>
      <c r="N671" s="19"/>
      <c r="O671" s="19"/>
      <c r="P671" s="19"/>
      <c r="Q671" s="19"/>
      <c r="R671" s="17"/>
    </row>
    <row r="672" spans="1:18">
      <c r="A672" s="17"/>
      <c r="C672" s="19"/>
      <c r="D672" s="19"/>
      <c r="E672" s="19"/>
      <c r="F672" s="19"/>
      <c r="G672" s="19"/>
      <c r="H672" s="19"/>
      <c r="I672" s="19"/>
      <c r="J672" s="19"/>
      <c r="K672" s="19"/>
      <c r="L672" s="19"/>
      <c r="M672" s="19"/>
      <c r="N672" s="19"/>
      <c r="O672" s="19"/>
      <c r="P672" s="19"/>
      <c r="Q672" s="19"/>
      <c r="R672" s="17"/>
    </row>
    <row r="673" spans="1:18">
      <c r="A673" s="17"/>
      <c r="C673" s="19"/>
      <c r="D673" s="19"/>
      <c r="E673" s="19"/>
      <c r="F673" s="19"/>
      <c r="G673" s="19"/>
      <c r="H673" s="19"/>
      <c r="I673" s="19"/>
      <c r="J673" s="19"/>
      <c r="K673" s="19"/>
      <c r="L673" s="19"/>
      <c r="M673" s="19"/>
      <c r="N673" s="19"/>
      <c r="O673" s="19"/>
      <c r="P673" s="19"/>
      <c r="Q673" s="19"/>
      <c r="R673" s="17"/>
    </row>
    <row r="674" spans="1:18">
      <c r="A674" s="17"/>
      <c r="C674" s="19"/>
      <c r="D674" s="19"/>
      <c r="E674" s="19"/>
      <c r="F674" s="19"/>
      <c r="G674" s="19"/>
      <c r="H674" s="19"/>
      <c r="I674" s="19"/>
      <c r="J674" s="19"/>
      <c r="K674" s="19"/>
      <c r="L674" s="19"/>
      <c r="M674" s="19"/>
      <c r="N674" s="19"/>
      <c r="O674" s="19"/>
      <c r="P674" s="19"/>
      <c r="Q674" s="19"/>
      <c r="R674" s="17"/>
    </row>
    <row r="675" spans="1:18">
      <c r="A675" s="17"/>
      <c r="C675" s="19"/>
      <c r="D675" s="19"/>
      <c r="E675" s="19"/>
      <c r="F675" s="19"/>
      <c r="G675" s="19"/>
      <c r="H675" s="19"/>
      <c r="I675" s="19"/>
      <c r="J675" s="19"/>
      <c r="K675" s="19"/>
      <c r="L675" s="19"/>
      <c r="M675" s="19"/>
      <c r="N675" s="19"/>
      <c r="O675" s="19"/>
      <c r="P675" s="19"/>
      <c r="Q675" s="19"/>
      <c r="R675" s="17"/>
    </row>
    <row r="676" spans="1:18">
      <c r="A676" s="17"/>
      <c r="C676" s="19"/>
      <c r="D676" s="19"/>
      <c r="E676" s="19"/>
      <c r="F676" s="19"/>
      <c r="G676" s="19"/>
      <c r="H676" s="19"/>
      <c r="I676" s="19"/>
      <c r="J676" s="19"/>
      <c r="K676" s="19"/>
      <c r="L676" s="19"/>
      <c r="M676" s="19"/>
      <c r="N676" s="19"/>
      <c r="O676" s="19"/>
      <c r="P676" s="19"/>
      <c r="Q676" s="19"/>
      <c r="R676" s="17"/>
    </row>
    <row r="677" spans="1:18">
      <c r="A677" s="17"/>
      <c r="C677" s="19"/>
      <c r="D677" s="19"/>
      <c r="E677" s="19"/>
      <c r="F677" s="19"/>
      <c r="G677" s="19"/>
      <c r="H677" s="19"/>
      <c r="I677" s="19"/>
      <c r="J677" s="19"/>
      <c r="K677" s="19"/>
      <c r="L677" s="19"/>
      <c r="M677" s="19"/>
      <c r="N677" s="19"/>
      <c r="O677" s="19"/>
      <c r="P677" s="19"/>
      <c r="Q677" s="19"/>
      <c r="R677" s="17"/>
    </row>
    <row r="678" spans="1:18">
      <c r="A678" s="17"/>
      <c r="C678" s="19"/>
      <c r="D678" s="19"/>
      <c r="E678" s="19"/>
      <c r="F678" s="19"/>
      <c r="G678" s="19"/>
      <c r="H678" s="19"/>
      <c r="I678" s="19"/>
      <c r="J678" s="19"/>
      <c r="K678" s="19"/>
      <c r="L678" s="19"/>
      <c r="M678" s="19"/>
      <c r="N678" s="19"/>
      <c r="O678" s="19"/>
      <c r="P678" s="19"/>
      <c r="Q678" s="19"/>
      <c r="R678" s="17"/>
    </row>
    <row r="679" spans="1:18">
      <c r="A679" s="17"/>
      <c r="C679" s="19"/>
      <c r="D679" s="19"/>
      <c r="E679" s="19"/>
      <c r="F679" s="19"/>
      <c r="G679" s="19"/>
      <c r="H679" s="19"/>
      <c r="I679" s="19"/>
      <c r="J679" s="19"/>
      <c r="K679" s="19"/>
      <c r="L679" s="19"/>
      <c r="M679" s="19"/>
      <c r="N679" s="19"/>
      <c r="O679" s="19"/>
      <c r="P679" s="19"/>
      <c r="Q679" s="19"/>
      <c r="R679" s="17"/>
    </row>
    <row r="680" spans="1:18">
      <c r="A680" s="17"/>
      <c r="C680" s="19"/>
      <c r="D680" s="19"/>
      <c r="E680" s="19"/>
      <c r="F680" s="19"/>
      <c r="G680" s="19"/>
      <c r="H680" s="19"/>
      <c r="I680" s="19"/>
      <c r="J680" s="19"/>
      <c r="K680" s="19"/>
      <c r="L680" s="19"/>
      <c r="M680" s="19"/>
      <c r="N680" s="19"/>
      <c r="O680" s="19"/>
      <c r="P680" s="19"/>
      <c r="Q680" s="19"/>
      <c r="R680" s="17"/>
    </row>
    <row r="681" spans="1:18">
      <c r="A681" s="17"/>
      <c r="C681" s="19"/>
      <c r="D681" s="19"/>
      <c r="E681" s="19"/>
      <c r="F681" s="19"/>
      <c r="G681" s="19"/>
      <c r="H681" s="19"/>
      <c r="I681" s="19"/>
      <c r="J681" s="19"/>
      <c r="K681" s="19"/>
      <c r="L681" s="19"/>
      <c r="M681" s="19"/>
      <c r="N681" s="19"/>
      <c r="O681" s="19"/>
      <c r="P681" s="19"/>
      <c r="Q681" s="19"/>
      <c r="R681" s="17"/>
    </row>
    <row r="682" spans="1:18">
      <c r="A682" s="17"/>
      <c r="C682" s="19"/>
      <c r="D682" s="19"/>
      <c r="E682" s="19"/>
      <c r="F682" s="19"/>
      <c r="G682" s="19"/>
      <c r="H682" s="19"/>
      <c r="I682" s="19"/>
      <c r="J682" s="19"/>
      <c r="K682" s="19"/>
      <c r="L682" s="19"/>
      <c r="M682" s="19"/>
      <c r="N682" s="19"/>
      <c r="O682" s="19"/>
      <c r="P682" s="19"/>
      <c r="Q682" s="19"/>
      <c r="R682" s="17"/>
    </row>
    <row r="683" spans="1:18">
      <c r="A683" s="17"/>
      <c r="C683" s="19"/>
      <c r="D683" s="19"/>
      <c r="E683" s="19"/>
      <c r="F683" s="19"/>
      <c r="G683" s="19"/>
      <c r="H683" s="19"/>
      <c r="I683" s="19"/>
      <c r="J683" s="19"/>
      <c r="K683" s="19"/>
      <c r="L683" s="19"/>
      <c r="M683" s="19"/>
      <c r="N683" s="19"/>
      <c r="O683" s="19"/>
      <c r="P683" s="19"/>
      <c r="Q683" s="19"/>
      <c r="R683" s="17"/>
    </row>
    <row r="684" spans="1:18">
      <c r="A684" s="17"/>
      <c r="C684" s="19"/>
      <c r="D684" s="19"/>
      <c r="E684" s="19"/>
      <c r="F684" s="19"/>
      <c r="G684" s="19"/>
      <c r="H684" s="19"/>
      <c r="I684" s="19"/>
      <c r="J684" s="19"/>
      <c r="K684" s="19"/>
      <c r="L684" s="19"/>
      <c r="M684" s="19"/>
      <c r="N684" s="19"/>
      <c r="O684" s="19"/>
      <c r="P684" s="19"/>
      <c r="Q684" s="19"/>
      <c r="R684" s="17"/>
    </row>
    <row r="685" spans="1:18">
      <c r="A685" s="17"/>
      <c r="C685" s="19"/>
      <c r="D685" s="19"/>
      <c r="E685" s="19"/>
      <c r="F685" s="19"/>
      <c r="G685" s="19"/>
      <c r="H685" s="19"/>
      <c r="I685" s="19"/>
      <c r="J685" s="19"/>
      <c r="K685" s="19"/>
      <c r="L685" s="19"/>
      <c r="M685" s="19"/>
      <c r="N685" s="19"/>
      <c r="O685" s="19"/>
      <c r="P685" s="19"/>
      <c r="Q685" s="19"/>
      <c r="R685" s="17"/>
    </row>
    <row r="686" spans="1:18">
      <c r="A686" s="17"/>
      <c r="C686" s="19"/>
      <c r="D686" s="19"/>
      <c r="E686" s="19"/>
      <c r="F686" s="19"/>
      <c r="G686" s="19"/>
      <c r="H686" s="19"/>
      <c r="I686" s="19"/>
      <c r="J686" s="19"/>
      <c r="K686" s="19"/>
      <c r="L686" s="19"/>
      <c r="M686" s="19"/>
      <c r="N686" s="19"/>
      <c r="O686" s="19"/>
      <c r="P686" s="19"/>
      <c r="Q686" s="19"/>
      <c r="R686" s="17"/>
    </row>
    <row r="687" spans="1:18">
      <c r="A687" s="17"/>
      <c r="C687" s="19"/>
      <c r="D687" s="19"/>
      <c r="E687" s="19"/>
      <c r="F687" s="19"/>
      <c r="G687" s="19"/>
      <c r="H687" s="19"/>
      <c r="I687" s="19"/>
      <c r="J687" s="19"/>
      <c r="K687" s="19"/>
      <c r="L687" s="19"/>
      <c r="M687" s="19"/>
      <c r="N687" s="19"/>
      <c r="O687" s="19"/>
      <c r="P687" s="19"/>
      <c r="Q687" s="19"/>
      <c r="R687" s="17"/>
    </row>
    <row r="688" spans="1:18">
      <c r="A688" s="17"/>
      <c r="C688" s="19"/>
      <c r="D688" s="19"/>
      <c r="E688" s="19"/>
      <c r="F688" s="19"/>
      <c r="G688" s="19"/>
      <c r="H688" s="19"/>
      <c r="I688" s="19"/>
      <c r="J688" s="19"/>
      <c r="K688" s="19"/>
      <c r="L688" s="19"/>
      <c r="M688" s="19"/>
      <c r="N688" s="19"/>
      <c r="O688" s="19"/>
      <c r="P688" s="19"/>
      <c r="Q688" s="19"/>
      <c r="R688" s="17"/>
    </row>
    <row r="689" spans="1:18">
      <c r="A689" s="17"/>
      <c r="C689" s="19"/>
      <c r="D689" s="19"/>
      <c r="E689" s="19"/>
      <c r="F689" s="19"/>
      <c r="G689" s="19"/>
      <c r="H689" s="19"/>
      <c r="I689" s="19"/>
      <c r="J689" s="19"/>
      <c r="K689" s="19"/>
      <c r="L689" s="19"/>
      <c r="M689" s="19"/>
      <c r="N689" s="19"/>
      <c r="O689" s="19"/>
      <c r="P689" s="19"/>
      <c r="Q689" s="19"/>
      <c r="R689" s="17"/>
    </row>
    <row r="690" spans="1:18">
      <c r="A690" s="17"/>
      <c r="C690" s="19"/>
      <c r="D690" s="19"/>
      <c r="E690" s="19"/>
      <c r="F690" s="19"/>
      <c r="G690" s="19"/>
      <c r="H690" s="19"/>
      <c r="I690" s="19"/>
      <c r="J690" s="19"/>
      <c r="K690" s="19"/>
      <c r="L690" s="19"/>
      <c r="M690" s="19"/>
      <c r="N690" s="19"/>
      <c r="O690" s="19"/>
      <c r="P690" s="19"/>
      <c r="Q690" s="19"/>
      <c r="R690" s="17"/>
    </row>
    <row r="691" spans="1:18">
      <c r="A691" s="17"/>
      <c r="C691" s="19"/>
      <c r="D691" s="19"/>
      <c r="E691" s="19"/>
      <c r="F691" s="19"/>
      <c r="G691" s="19"/>
      <c r="H691" s="19"/>
      <c r="I691" s="19"/>
      <c r="J691" s="19"/>
      <c r="K691" s="19"/>
      <c r="L691" s="19"/>
      <c r="M691" s="19"/>
      <c r="N691" s="19"/>
      <c r="O691" s="19"/>
      <c r="P691" s="19"/>
      <c r="Q691" s="19"/>
      <c r="R691" s="17"/>
    </row>
    <row r="692" spans="1:18">
      <c r="A692" s="17"/>
      <c r="C692" s="19"/>
      <c r="D692" s="19"/>
      <c r="E692" s="19"/>
      <c r="F692" s="19"/>
      <c r="G692" s="19"/>
      <c r="H692" s="19"/>
      <c r="I692" s="19"/>
      <c r="J692" s="19"/>
      <c r="K692" s="19"/>
      <c r="L692" s="19"/>
      <c r="M692" s="19"/>
      <c r="N692" s="19"/>
      <c r="O692" s="19"/>
      <c r="P692" s="19"/>
      <c r="Q692" s="19"/>
      <c r="R692" s="17"/>
    </row>
    <row r="693" spans="1:18">
      <c r="A693" s="17"/>
      <c r="C693" s="19"/>
      <c r="D693" s="19"/>
      <c r="E693" s="19"/>
      <c r="F693" s="19"/>
      <c r="G693" s="19"/>
      <c r="H693" s="19"/>
      <c r="I693" s="19"/>
      <c r="J693" s="19"/>
      <c r="K693" s="19"/>
      <c r="L693" s="19"/>
      <c r="M693" s="19"/>
      <c r="N693" s="19"/>
      <c r="O693" s="19"/>
      <c r="P693" s="19"/>
      <c r="Q693" s="19"/>
      <c r="R693" s="17"/>
    </row>
    <row r="694" spans="1:18">
      <c r="A694" s="17"/>
      <c r="C694" s="19"/>
      <c r="D694" s="19"/>
      <c r="E694" s="19"/>
      <c r="F694" s="19"/>
      <c r="G694" s="19"/>
      <c r="H694" s="19"/>
      <c r="I694" s="19"/>
      <c r="J694" s="19"/>
      <c r="K694" s="19"/>
      <c r="L694" s="19"/>
      <c r="M694" s="19"/>
      <c r="N694" s="19"/>
      <c r="O694" s="19"/>
      <c r="P694" s="19"/>
      <c r="Q694" s="19"/>
      <c r="R694" s="17"/>
    </row>
    <row r="695" spans="1:18">
      <c r="A695" s="17"/>
      <c r="C695" s="19"/>
      <c r="D695" s="19"/>
      <c r="E695" s="19"/>
      <c r="F695" s="19"/>
      <c r="G695" s="19"/>
      <c r="H695" s="19"/>
      <c r="I695" s="19"/>
      <c r="J695" s="19"/>
      <c r="K695" s="19"/>
      <c r="L695" s="19"/>
      <c r="M695" s="19"/>
      <c r="N695" s="19"/>
      <c r="O695" s="19"/>
      <c r="P695" s="19"/>
      <c r="Q695" s="19"/>
      <c r="R695" s="17"/>
    </row>
    <row r="696" spans="1:18">
      <c r="A696" s="17"/>
      <c r="C696" s="19"/>
      <c r="D696" s="19"/>
      <c r="E696" s="19"/>
      <c r="F696" s="19"/>
      <c r="G696" s="19"/>
      <c r="H696" s="19"/>
      <c r="I696" s="19"/>
      <c r="J696" s="19"/>
      <c r="K696" s="19"/>
      <c r="L696" s="19"/>
      <c r="M696" s="19"/>
      <c r="N696" s="19"/>
      <c r="O696" s="19"/>
      <c r="P696" s="19"/>
      <c r="Q696" s="19"/>
      <c r="R696" s="17"/>
    </row>
    <row r="697" spans="1:18">
      <c r="A697" s="17"/>
      <c r="C697" s="19"/>
      <c r="D697" s="19"/>
      <c r="E697" s="19"/>
      <c r="F697" s="19"/>
      <c r="G697" s="19"/>
      <c r="H697" s="19"/>
      <c r="I697" s="19"/>
      <c r="J697" s="19"/>
      <c r="K697" s="19"/>
      <c r="L697" s="19"/>
      <c r="M697" s="19"/>
      <c r="N697" s="19"/>
      <c r="O697" s="19"/>
      <c r="P697" s="19"/>
      <c r="Q697" s="19"/>
      <c r="R697" s="17"/>
    </row>
    <row r="698" spans="1:18">
      <c r="A698" s="17"/>
      <c r="C698" s="19"/>
      <c r="D698" s="19"/>
      <c r="E698" s="19"/>
      <c r="F698" s="19"/>
      <c r="G698" s="19"/>
      <c r="H698" s="19"/>
      <c r="I698" s="19"/>
      <c r="J698" s="19"/>
      <c r="K698" s="19"/>
      <c r="L698" s="19"/>
      <c r="M698" s="19"/>
      <c r="N698" s="19"/>
      <c r="O698" s="19"/>
      <c r="P698" s="19"/>
      <c r="Q698" s="19"/>
      <c r="R698" s="17"/>
    </row>
    <row r="699" spans="1:18">
      <c r="A699" s="17"/>
      <c r="C699" s="19"/>
      <c r="D699" s="19"/>
      <c r="E699" s="19"/>
      <c r="F699" s="19"/>
      <c r="G699" s="19"/>
      <c r="H699" s="19"/>
      <c r="I699" s="19"/>
      <c r="J699" s="19"/>
      <c r="K699" s="19"/>
      <c r="L699" s="19"/>
      <c r="M699" s="19"/>
      <c r="N699" s="19"/>
      <c r="O699" s="19"/>
      <c r="P699" s="19"/>
      <c r="Q699" s="19"/>
      <c r="R699" s="17"/>
    </row>
    <row r="700" spans="1:18">
      <c r="A700" s="17"/>
      <c r="C700" s="19"/>
      <c r="D700" s="19"/>
      <c r="E700" s="19"/>
      <c r="F700" s="19"/>
      <c r="G700" s="19"/>
      <c r="H700" s="19"/>
      <c r="I700" s="19"/>
      <c r="J700" s="19"/>
      <c r="K700" s="19"/>
      <c r="L700" s="19"/>
      <c r="M700" s="19"/>
      <c r="N700" s="19"/>
      <c r="O700" s="19"/>
      <c r="P700" s="19"/>
      <c r="Q700" s="19"/>
      <c r="R700" s="17"/>
    </row>
    <row r="701" spans="1:18">
      <c r="A701" s="17"/>
      <c r="C701" s="19"/>
      <c r="D701" s="19"/>
      <c r="E701" s="19"/>
      <c r="F701" s="19"/>
      <c r="G701" s="19"/>
      <c r="H701" s="19"/>
      <c r="I701" s="19"/>
      <c r="J701" s="19"/>
      <c r="K701" s="19"/>
      <c r="L701" s="19"/>
      <c r="M701" s="19"/>
      <c r="N701" s="19"/>
      <c r="O701" s="19"/>
      <c r="P701" s="19"/>
      <c r="Q701" s="19"/>
      <c r="R701" s="17"/>
    </row>
    <row r="702" spans="1:18">
      <c r="A702" s="17"/>
      <c r="C702" s="19"/>
      <c r="D702" s="19"/>
      <c r="E702" s="19"/>
      <c r="F702" s="19"/>
      <c r="G702" s="19"/>
      <c r="H702" s="19"/>
      <c r="I702" s="19"/>
      <c r="J702" s="19"/>
      <c r="K702" s="19"/>
      <c r="L702" s="19"/>
      <c r="M702" s="19"/>
      <c r="N702" s="19"/>
      <c r="O702" s="19"/>
      <c r="P702" s="19"/>
      <c r="Q702" s="19"/>
      <c r="R702" s="17"/>
    </row>
    <row r="703" spans="1:18">
      <c r="A703" s="17"/>
      <c r="C703" s="19"/>
      <c r="D703" s="19"/>
      <c r="E703" s="19"/>
      <c r="F703" s="19"/>
      <c r="G703" s="19"/>
      <c r="H703" s="19"/>
      <c r="I703" s="19"/>
      <c r="J703" s="19"/>
      <c r="K703" s="19"/>
      <c r="L703" s="19"/>
      <c r="M703" s="19"/>
      <c r="N703" s="19"/>
      <c r="O703" s="19"/>
      <c r="P703" s="19"/>
      <c r="Q703" s="19"/>
      <c r="R703" s="17"/>
    </row>
    <row r="704" spans="1:18">
      <c r="A704" s="17"/>
      <c r="C704" s="19"/>
      <c r="D704" s="19"/>
      <c r="E704" s="19"/>
      <c r="F704" s="19"/>
      <c r="G704" s="19"/>
      <c r="H704" s="19"/>
      <c r="I704" s="19"/>
      <c r="J704" s="19"/>
      <c r="K704" s="19"/>
      <c r="L704" s="19"/>
      <c r="M704" s="19"/>
      <c r="N704" s="19"/>
      <c r="O704" s="19"/>
      <c r="P704" s="19"/>
      <c r="Q704" s="19"/>
      <c r="R704" s="17"/>
    </row>
    <row r="705" spans="1:18">
      <c r="A705" s="17"/>
      <c r="C705" s="19"/>
      <c r="D705" s="19"/>
      <c r="E705" s="19"/>
      <c r="F705" s="19"/>
      <c r="G705" s="19"/>
      <c r="H705" s="19"/>
      <c r="I705" s="19"/>
      <c r="J705" s="19"/>
      <c r="K705" s="19"/>
      <c r="L705" s="19"/>
      <c r="M705" s="19"/>
      <c r="N705" s="19"/>
      <c r="O705" s="19"/>
      <c r="P705" s="19"/>
      <c r="Q705" s="19"/>
      <c r="R705" s="17"/>
    </row>
    <row r="706" spans="1:18">
      <c r="A706" s="17"/>
      <c r="C706" s="19"/>
      <c r="D706" s="19"/>
      <c r="E706" s="19"/>
      <c r="F706" s="19"/>
      <c r="G706" s="19"/>
      <c r="H706" s="19"/>
      <c r="I706" s="19"/>
      <c r="J706" s="19"/>
      <c r="K706" s="19"/>
      <c r="L706" s="19"/>
      <c r="M706" s="19"/>
      <c r="N706" s="19"/>
      <c r="O706" s="19"/>
      <c r="P706" s="19"/>
      <c r="Q706" s="19"/>
      <c r="R706" s="17"/>
    </row>
    <row r="707" spans="1:18">
      <c r="A707" s="17"/>
      <c r="C707" s="19"/>
      <c r="D707" s="19"/>
      <c r="E707" s="19"/>
      <c r="F707" s="19"/>
      <c r="G707" s="19"/>
      <c r="H707" s="19"/>
      <c r="I707" s="19"/>
      <c r="J707" s="19"/>
      <c r="K707" s="19"/>
      <c r="L707" s="19"/>
      <c r="M707" s="19"/>
      <c r="N707" s="19"/>
      <c r="O707" s="19"/>
      <c r="P707" s="19"/>
      <c r="Q707" s="19"/>
      <c r="R707" s="17"/>
    </row>
    <row r="708" spans="1:18">
      <c r="A708" s="17"/>
      <c r="C708" s="19"/>
      <c r="D708" s="19"/>
      <c r="E708" s="19"/>
      <c r="F708" s="19"/>
      <c r="G708" s="19"/>
      <c r="H708" s="19"/>
      <c r="I708" s="19"/>
      <c r="J708" s="19"/>
      <c r="K708" s="19"/>
      <c r="L708" s="19"/>
      <c r="M708" s="19"/>
      <c r="N708" s="19"/>
      <c r="O708" s="19"/>
      <c r="P708" s="19"/>
      <c r="Q708" s="19"/>
      <c r="R708" s="17"/>
    </row>
    <row r="709" spans="1:18">
      <c r="A709" s="17"/>
      <c r="C709" s="19"/>
      <c r="D709" s="19"/>
      <c r="E709" s="19"/>
      <c r="F709" s="19"/>
      <c r="G709" s="19"/>
      <c r="H709" s="19"/>
      <c r="I709" s="19"/>
      <c r="J709" s="19"/>
      <c r="K709" s="19"/>
      <c r="L709" s="19"/>
      <c r="M709" s="19"/>
      <c r="N709" s="19"/>
      <c r="O709" s="19"/>
      <c r="P709" s="19"/>
      <c r="Q709" s="19"/>
      <c r="R709" s="17"/>
    </row>
    <row r="710" spans="1:18">
      <c r="A710" s="17"/>
      <c r="C710" s="19"/>
      <c r="D710" s="19"/>
      <c r="E710" s="19"/>
      <c r="F710" s="19"/>
      <c r="G710" s="19"/>
      <c r="H710" s="19"/>
      <c r="I710" s="19"/>
      <c r="J710" s="19"/>
      <c r="K710" s="19"/>
      <c r="L710" s="19"/>
      <c r="M710" s="19"/>
      <c r="N710" s="19"/>
      <c r="O710" s="19"/>
      <c r="P710" s="19"/>
      <c r="Q710" s="19"/>
      <c r="R710" s="17"/>
    </row>
    <row r="711" spans="1:18">
      <c r="A711" s="17"/>
      <c r="C711" s="19"/>
      <c r="D711" s="19"/>
      <c r="E711" s="19"/>
      <c r="F711" s="19"/>
      <c r="G711" s="19"/>
      <c r="H711" s="19"/>
      <c r="I711" s="19"/>
      <c r="J711" s="19"/>
      <c r="K711" s="19"/>
      <c r="L711" s="19"/>
      <c r="M711" s="19"/>
      <c r="N711" s="19"/>
      <c r="O711" s="19"/>
      <c r="P711" s="19"/>
      <c r="Q711" s="19"/>
      <c r="R711" s="17"/>
    </row>
    <row r="712" spans="1:18">
      <c r="A712" s="17"/>
      <c r="C712" s="19"/>
      <c r="D712" s="19"/>
      <c r="E712" s="19"/>
      <c r="F712" s="19"/>
      <c r="G712" s="19"/>
      <c r="H712" s="19"/>
      <c r="I712" s="19"/>
      <c r="J712" s="19"/>
      <c r="K712" s="19"/>
      <c r="L712" s="19"/>
      <c r="M712" s="19"/>
      <c r="N712" s="19"/>
      <c r="O712" s="19"/>
      <c r="P712" s="19"/>
      <c r="Q712" s="19"/>
      <c r="R712" s="17"/>
    </row>
    <row r="713" spans="1:18">
      <c r="A713" s="17"/>
      <c r="C713" s="19"/>
      <c r="D713" s="19"/>
      <c r="E713" s="19"/>
      <c r="F713" s="19"/>
      <c r="G713" s="19"/>
      <c r="H713" s="19"/>
      <c r="I713" s="19"/>
      <c r="J713" s="19"/>
      <c r="K713" s="19"/>
      <c r="L713" s="19"/>
      <c r="M713" s="19"/>
      <c r="N713" s="19"/>
      <c r="O713" s="19"/>
      <c r="P713" s="19"/>
      <c r="Q713" s="19"/>
      <c r="R713" s="17"/>
    </row>
    <row r="714" spans="1:18">
      <c r="A714" s="17"/>
      <c r="C714" s="19"/>
      <c r="D714" s="19"/>
      <c r="E714" s="19"/>
      <c r="F714" s="19"/>
      <c r="G714" s="19"/>
      <c r="H714" s="19"/>
      <c r="I714" s="19"/>
      <c r="J714" s="19"/>
      <c r="K714" s="19"/>
      <c r="L714" s="19"/>
      <c r="M714" s="19"/>
      <c r="N714" s="19"/>
      <c r="O714" s="19"/>
      <c r="P714" s="19"/>
      <c r="Q714" s="19"/>
      <c r="R714" s="17"/>
    </row>
    <row r="715" spans="1:18">
      <c r="A715" s="17"/>
      <c r="C715" s="19"/>
      <c r="D715" s="19"/>
      <c r="E715" s="19"/>
      <c r="F715" s="19"/>
      <c r="G715" s="19"/>
      <c r="H715" s="19"/>
      <c r="I715" s="19"/>
      <c r="J715" s="19"/>
      <c r="K715" s="19"/>
      <c r="L715" s="19"/>
      <c r="M715" s="19"/>
      <c r="N715" s="19"/>
      <c r="O715" s="19"/>
      <c r="P715" s="19"/>
      <c r="Q715" s="19"/>
      <c r="R715" s="17"/>
    </row>
    <row r="716" spans="1:18">
      <c r="A716" s="17"/>
      <c r="C716" s="19"/>
      <c r="D716" s="19"/>
      <c r="E716" s="19"/>
      <c r="F716" s="19"/>
      <c r="G716" s="19"/>
      <c r="H716" s="19"/>
      <c r="I716" s="19"/>
      <c r="J716" s="19"/>
      <c r="K716" s="19"/>
      <c r="L716" s="19"/>
      <c r="M716" s="19"/>
      <c r="N716" s="19"/>
      <c r="O716" s="19"/>
      <c r="P716" s="19"/>
      <c r="Q716" s="19"/>
      <c r="R716" s="17"/>
    </row>
    <row r="717" spans="1:18">
      <c r="A717" s="17"/>
      <c r="C717" s="19"/>
      <c r="D717" s="19"/>
      <c r="E717" s="19"/>
      <c r="F717" s="19"/>
      <c r="G717" s="19"/>
      <c r="H717" s="19"/>
      <c r="I717" s="19"/>
      <c r="J717" s="19"/>
      <c r="K717" s="19"/>
      <c r="L717" s="19"/>
      <c r="M717" s="19"/>
      <c r="N717" s="19"/>
      <c r="O717" s="19"/>
      <c r="P717" s="19"/>
      <c r="Q717" s="19"/>
      <c r="R717" s="17"/>
    </row>
    <row r="718" spans="1:18">
      <c r="A718" s="17"/>
      <c r="C718" s="19"/>
      <c r="D718" s="19"/>
      <c r="E718" s="19"/>
      <c r="F718" s="19"/>
      <c r="G718" s="19"/>
      <c r="H718" s="19"/>
      <c r="I718" s="19"/>
      <c r="J718" s="19"/>
      <c r="K718" s="19"/>
      <c r="L718" s="19"/>
      <c r="M718" s="19"/>
      <c r="N718" s="19"/>
      <c r="O718" s="19"/>
      <c r="P718" s="19"/>
      <c r="Q718" s="19"/>
      <c r="R718" s="17"/>
    </row>
    <row r="719" spans="1:18">
      <c r="A719" s="17"/>
      <c r="C719" s="19"/>
      <c r="D719" s="19"/>
      <c r="E719" s="19"/>
      <c r="F719" s="19"/>
      <c r="G719" s="19"/>
      <c r="H719" s="19"/>
      <c r="I719" s="19"/>
      <c r="J719" s="19"/>
      <c r="K719" s="19"/>
      <c r="L719" s="19"/>
      <c r="M719" s="19"/>
      <c r="N719" s="19"/>
      <c r="O719" s="19"/>
      <c r="P719" s="19"/>
      <c r="Q719" s="19"/>
      <c r="R719" s="17"/>
    </row>
    <row r="720" spans="1:18">
      <c r="A720" s="17"/>
      <c r="C720" s="19"/>
      <c r="D720" s="19"/>
      <c r="E720" s="19"/>
      <c r="F720" s="19"/>
      <c r="G720" s="19"/>
      <c r="H720" s="19"/>
      <c r="I720" s="19"/>
      <c r="J720" s="19"/>
      <c r="K720" s="19"/>
      <c r="L720" s="19"/>
      <c r="M720" s="19"/>
      <c r="N720" s="19"/>
      <c r="O720" s="19"/>
      <c r="P720" s="19"/>
      <c r="Q720" s="19"/>
      <c r="R720" s="17"/>
    </row>
    <row r="721" spans="1:18">
      <c r="A721" s="17"/>
      <c r="C721" s="19"/>
      <c r="D721" s="19"/>
      <c r="E721" s="19"/>
      <c r="F721" s="19"/>
      <c r="G721" s="19"/>
      <c r="H721" s="19"/>
      <c r="I721" s="19"/>
      <c r="J721" s="19"/>
      <c r="K721" s="19"/>
      <c r="L721" s="19"/>
      <c r="M721" s="19"/>
      <c r="N721" s="19"/>
      <c r="O721" s="19"/>
      <c r="P721" s="19"/>
      <c r="Q721" s="19"/>
      <c r="R721" s="17"/>
    </row>
    <row r="722" spans="1:18">
      <c r="A722" s="17"/>
      <c r="C722" s="19"/>
      <c r="D722" s="19"/>
      <c r="E722" s="19"/>
      <c r="F722" s="19"/>
      <c r="G722" s="19"/>
      <c r="H722" s="19"/>
      <c r="I722" s="19"/>
      <c r="J722" s="19"/>
      <c r="K722" s="19"/>
      <c r="L722" s="19"/>
      <c r="M722" s="19"/>
      <c r="N722" s="19"/>
      <c r="O722" s="19"/>
      <c r="P722" s="19"/>
      <c r="Q722" s="19"/>
      <c r="R722" s="17"/>
    </row>
    <row r="723" spans="1:18">
      <c r="A723" s="17"/>
      <c r="C723" s="19"/>
      <c r="D723" s="19"/>
      <c r="E723" s="19"/>
      <c r="F723" s="19"/>
      <c r="G723" s="19"/>
      <c r="H723" s="19"/>
      <c r="I723" s="19"/>
      <c r="J723" s="19"/>
      <c r="K723" s="19"/>
      <c r="L723" s="19"/>
      <c r="M723" s="19"/>
      <c r="N723" s="19"/>
      <c r="O723" s="19"/>
      <c r="P723" s="19"/>
      <c r="Q723" s="19"/>
      <c r="R723" s="17"/>
    </row>
    <row r="724" spans="1:18">
      <c r="A724" s="17"/>
      <c r="C724" s="19"/>
      <c r="D724" s="19"/>
      <c r="E724" s="19"/>
      <c r="F724" s="19"/>
      <c r="G724" s="19"/>
      <c r="H724" s="19"/>
      <c r="I724" s="19"/>
      <c r="J724" s="19"/>
      <c r="K724" s="19"/>
      <c r="L724" s="19"/>
      <c r="M724" s="19"/>
      <c r="N724" s="19"/>
      <c r="O724" s="19"/>
      <c r="P724" s="19"/>
      <c r="Q724" s="19"/>
      <c r="R724" s="17"/>
    </row>
    <row r="725" spans="1:18">
      <c r="A725" s="17"/>
      <c r="C725" s="19"/>
      <c r="D725" s="19"/>
      <c r="E725" s="19"/>
      <c r="F725" s="19"/>
      <c r="G725" s="19"/>
      <c r="H725" s="19"/>
      <c r="I725" s="19"/>
      <c r="J725" s="19"/>
      <c r="K725" s="19"/>
      <c r="L725" s="19"/>
      <c r="M725" s="19"/>
      <c r="N725" s="19"/>
      <c r="O725" s="19"/>
      <c r="P725" s="19"/>
      <c r="Q725" s="19"/>
      <c r="R725" s="17"/>
    </row>
    <row r="726" spans="1:18">
      <c r="A726" s="17"/>
      <c r="C726" s="19"/>
      <c r="D726" s="19"/>
      <c r="E726" s="19"/>
      <c r="F726" s="19"/>
      <c r="G726" s="19"/>
      <c r="H726" s="19"/>
      <c r="I726" s="19"/>
      <c r="J726" s="19"/>
      <c r="K726" s="19"/>
      <c r="L726" s="19"/>
      <c r="M726" s="19"/>
      <c r="N726" s="19"/>
      <c r="O726" s="19"/>
      <c r="P726" s="19"/>
      <c r="Q726" s="19"/>
      <c r="R726" s="17"/>
    </row>
    <row r="727" spans="1:18">
      <c r="A727" s="17"/>
      <c r="C727" s="19"/>
      <c r="D727" s="19"/>
      <c r="E727" s="19"/>
      <c r="F727" s="19"/>
      <c r="G727" s="19"/>
      <c r="H727" s="19"/>
      <c r="I727" s="19"/>
      <c r="J727" s="19"/>
      <c r="K727" s="19"/>
      <c r="L727" s="19"/>
      <c r="M727" s="19"/>
      <c r="N727" s="19"/>
      <c r="O727" s="19"/>
      <c r="P727" s="19"/>
      <c r="Q727" s="19"/>
      <c r="R727" s="17"/>
    </row>
    <row r="728" spans="1:18">
      <c r="A728" s="17"/>
      <c r="C728" s="19"/>
      <c r="D728" s="19"/>
      <c r="E728" s="19"/>
      <c r="F728" s="19"/>
      <c r="G728" s="19"/>
      <c r="H728" s="19"/>
      <c r="I728" s="19"/>
      <c r="J728" s="19"/>
      <c r="K728" s="19"/>
      <c r="L728" s="19"/>
      <c r="M728" s="19"/>
      <c r="N728" s="19"/>
      <c r="O728" s="19"/>
      <c r="P728" s="19"/>
      <c r="Q728" s="19"/>
      <c r="R728" s="17"/>
    </row>
    <row r="729" spans="1:18">
      <c r="A729" s="17"/>
      <c r="C729" s="19"/>
      <c r="D729" s="19"/>
      <c r="E729" s="19"/>
      <c r="F729" s="19"/>
      <c r="G729" s="19"/>
      <c r="H729" s="19"/>
      <c r="I729" s="19"/>
      <c r="J729" s="19"/>
      <c r="K729" s="19"/>
      <c r="L729" s="19"/>
      <c r="M729" s="19"/>
      <c r="N729" s="19"/>
      <c r="O729" s="19"/>
      <c r="P729" s="19"/>
      <c r="Q729" s="19"/>
      <c r="R729" s="17"/>
    </row>
    <row r="730" spans="1:18">
      <c r="A730" s="17"/>
      <c r="C730" s="19"/>
      <c r="D730" s="19"/>
      <c r="E730" s="19"/>
      <c r="F730" s="19"/>
      <c r="G730" s="19"/>
      <c r="H730" s="19"/>
      <c r="I730" s="19"/>
      <c r="J730" s="19"/>
      <c r="K730" s="19"/>
      <c r="L730" s="19"/>
      <c r="M730" s="19"/>
      <c r="N730" s="19"/>
      <c r="O730" s="19"/>
      <c r="P730" s="19"/>
      <c r="Q730" s="19"/>
      <c r="R730" s="17"/>
    </row>
    <row r="731" spans="1:18">
      <c r="A731" s="17"/>
      <c r="C731" s="19"/>
      <c r="D731" s="19"/>
      <c r="E731" s="19"/>
      <c r="F731" s="19"/>
      <c r="G731" s="19"/>
      <c r="H731" s="19"/>
      <c r="I731" s="19"/>
      <c r="J731" s="19"/>
      <c r="K731" s="19"/>
      <c r="L731" s="19"/>
      <c r="M731" s="19"/>
      <c r="N731" s="19"/>
      <c r="O731" s="19"/>
      <c r="P731" s="19"/>
      <c r="Q731" s="19"/>
      <c r="R731" s="17"/>
    </row>
    <row r="732" spans="1:18">
      <c r="A732" s="17"/>
      <c r="C732" s="19"/>
      <c r="D732" s="19"/>
      <c r="E732" s="19"/>
      <c r="F732" s="19"/>
      <c r="G732" s="19"/>
      <c r="H732" s="19"/>
      <c r="I732" s="19"/>
      <c r="J732" s="19"/>
      <c r="K732" s="19"/>
      <c r="L732" s="19"/>
      <c r="M732" s="19"/>
      <c r="N732" s="19"/>
      <c r="O732" s="19"/>
      <c r="P732" s="19"/>
      <c r="Q732" s="19"/>
      <c r="R732" s="17"/>
    </row>
    <row r="733" spans="1:18">
      <c r="A733" s="17"/>
      <c r="C733" s="19"/>
      <c r="D733" s="19"/>
      <c r="E733" s="19"/>
      <c r="F733" s="19"/>
      <c r="G733" s="19"/>
      <c r="H733" s="19"/>
      <c r="I733" s="19"/>
      <c r="J733" s="19"/>
      <c r="K733" s="19"/>
      <c r="L733" s="19"/>
      <c r="M733" s="19"/>
      <c r="N733" s="19"/>
      <c r="O733" s="19"/>
      <c r="P733" s="19"/>
      <c r="Q733" s="19"/>
      <c r="R733" s="17"/>
    </row>
    <row r="734" spans="1:18">
      <c r="A734" s="17"/>
      <c r="C734" s="19"/>
      <c r="D734" s="19"/>
      <c r="E734" s="19"/>
      <c r="F734" s="19"/>
      <c r="G734" s="19"/>
      <c r="H734" s="19"/>
      <c r="I734" s="19"/>
      <c r="J734" s="19"/>
      <c r="K734" s="19"/>
      <c r="L734" s="19"/>
      <c r="M734" s="19"/>
      <c r="N734" s="19"/>
      <c r="O734" s="19"/>
      <c r="P734" s="19"/>
      <c r="Q734" s="19"/>
      <c r="R734" s="17"/>
    </row>
    <row r="735" spans="1:18">
      <c r="A735" s="17"/>
      <c r="C735" s="19"/>
      <c r="D735" s="19"/>
      <c r="E735" s="19"/>
      <c r="F735" s="19"/>
      <c r="G735" s="19"/>
      <c r="H735" s="19"/>
      <c r="I735" s="19"/>
      <c r="J735" s="19"/>
      <c r="K735" s="19"/>
      <c r="L735" s="19"/>
      <c r="M735" s="19"/>
      <c r="N735" s="19"/>
      <c r="O735" s="19"/>
      <c r="P735" s="19"/>
      <c r="Q735" s="19"/>
      <c r="R735" s="17"/>
    </row>
    <row r="736" spans="1:18">
      <c r="A736" s="17"/>
      <c r="C736" s="19"/>
      <c r="D736" s="19"/>
      <c r="E736" s="19"/>
      <c r="F736" s="19"/>
      <c r="G736" s="19"/>
      <c r="H736" s="19"/>
      <c r="I736" s="19"/>
      <c r="J736" s="19"/>
      <c r="K736" s="19"/>
      <c r="L736" s="19"/>
      <c r="M736" s="19"/>
      <c r="N736" s="19"/>
      <c r="O736" s="19"/>
      <c r="P736" s="19"/>
      <c r="Q736" s="19"/>
      <c r="R736" s="17"/>
    </row>
    <row r="737" spans="1:18">
      <c r="A737" s="17"/>
      <c r="C737" s="19"/>
      <c r="D737" s="19"/>
      <c r="E737" s="19"/>
      <c r="F737" s="19"/>
      <c r="G737" s="19"/>
      <c r="H737" s="19"/>
      <c r="I737" s="19"/>
      <c r="J737" s="19"/>
      <c r="K737" s="19"/>
      <c r="L737" s="19"/>
      <c r="M737" s="19"/>
      <c r="N737" s="19"/>
      <c r="O737" s="19"/>
      <c r="P737" s="19"/>
      <c r="Q737" s="19"/>
      <c r="R737" s="17"/>
    </row>
    <row r="738" spans="1:18">
      <c r="A738" s="17"/>
      <c r="C738" s="19"/>
      <c r="D738" s="19"/>
      <c r="E738" s="19"/>
      <c r="F738" s="19"/>
      <c r="G738" s="19"/>
      <c r="H738" s="19"/>
      <c r="I738" s="19"/>
      <c r="J738" s="19"/>
      <c r="K738" s="19"/>
      <c r="L738" s="19"/>
      <c r="M738" s="19"/>
      <c r="N738" s="19"/>
      <c r="O738" s="19"/>
      <c r="P738" s="19"/>
      <c r="Q738" s="19"/>
      <c r="R738" s="17"/>
    </row>
    <row r="739" spans="1:18">
      <c r="A739" s="17"/>
      <c r="C739" s="19"/>
      <c r="D739" s="19"/>
      <c r="E739" s="19"/>
      <c r="F739" s="19"/>
      <c r="G739" s="19"/>
      <c r="H739" s="19"/>
      <c r="I739" s="19"/>
      <c r="J739" s="19"/>
      <c r="K739" s="19"/>
      <c r="L739" s="19"/>
      <c r="M739" s="19"/>
      <c r="N739" s="19"/>
      <c r="O739" s="19"/>
      <c r="P739" s="19"/>
      <c r="Q739" s="19"/>
      <c r="R739" s="17"/>
    </row>
    <row r="740" spans="1:18">
      <c r="A740" s="17"/>
      <c r="C740" s="19"/>
      <c r="D740" s="19"/>
      <c r="E740" s="19"/>
      <c r="F740" s="19"/>
      <c r="G740" s="19"/>
      <c r="H740" s="19"/>
      <c r="I740" s="19"/>
      <c r="J740" s="19"/>
      <c r="K740" s="19"/>
      <c r="L740" s="19"/>
      <c r="M740" s="19"/>
      <c r="N740" s="19"/>
      <c r="O740" s="19"/>
      <c r="P740" s="19"/>
      <c r="Q740" s="19"/>
      <c r="R740" s="17"/>
    </row>
    <row r="741" spans="1:18">
      <c r="A741" s="17"/>
      <c r="C741" s="19"/>
      <c r="D741" s="19"/>
      <c r="E741" s="19"/>
      <c r="F741" s="19"/>
      <c r="G741" s="19"/>
      <c r="H741" s="19"/>
      <c r="I741" s="19"/>
      <c r="J741" s="19"/>
      <c r="K741" s="19"/>
      <c r="L741" s="19"/>
      <c r="M741" s="19"/>
      <c r="N741" s="19"/>
      <c r="O741" s="19"/>
      <c r="P741" s="19"/>
      <c r="Q741" s="19"/>
      <c r="R741" s="17"/>
    </row>
    <row r="742" spans="1:18">
      <c r="A742" s="17"/>
      <c r="C742" s="19"/>
      <c r="D742" s="19"/>
      <c r="E742" s="19"/>
      <c r="F742" s="19"/>
      <c r="G742" s="19"/>
      <c r="H742" s="19"/>
      <c r="I742" s="19"/>
      <c r="J742" s="19"/>
      <c r="K742" s="19"/>
      <c r="L742" s="19"/>
      <c r="M742" s="19"/>
      <c r="N742" s="19"/>
      <c r="O742" s="19"/>
      <c r="P742" s="19"/>
      <c r="Q742" s="19"/>
      <c r="R742" s="17"/>
    </row>
    <row r="743" spans="1:18">
      <c r="A743" s="17"/>
      <c r="C743" s="19"/>
      <c r="D743" s="19"/>
      <c r="E743" s="19"/>
      <c r="F743" s="19"/>
      <c r="G743" s="19"/>
      <c r="H743" s="19"/>
      <c r="I743" s="19"/>
      <c r="J743" s="19"/>
      <c r="K743" s="19"/>
      <c r="L743" s="19"/>
      <c r="M743" s="19"/>
      <c r="N743" s="19"/>
      <c r="O743" s="19"/>
      <c r="P743" s="19"/>
      <c r="Q743" s="19"/>
      <c r="R743" s="17"/>
    </row>
    <row r="744" spans="1:18">
      <c r="A744" s="17"/>
      <c r="C744" s="19"/>
      <c r="D744" s="19"/>
      <c r="E744" s="19"/>
      <c r="F744" s="19"/>
      <c r="G744" s="19"/>
      <c r="H744" s="19"/>
      <c r="I744" s="19"/>
      <c r="J744" s="19"/>
      <c r="K744" s="19"/>
      <c r="L744" s="19"/>
      <c r="M744" s="19"/>
      <c r="N744" s="19"/>
      <c r="O744" s="19"/>
      <c r="P744" s="19"/>
      <c r="Q744" s="19"/>
      <c r="R744" s="17"/>
    </row>
    <row r="745" spans="1:18">
      <c r="A745" s="17"/>
      <c r="C745" s="19"/>
      <c r="D745" s="19"/>
      <c r="E745" s="19"/>
      <c r="F745" s="19"/>
      <c r="G745" s="19"/>
      <c r="H745" s="19"/>
      <c r="I745" s="19"/>
      <c r="J745" s="19"/>
      <c r="K745" s="19"/>
      <c r="L745" s="19"/>
      <c r="M745" s="19"/>
      <c r="N745" s="19"/>
      <c r="O745" s="19"/>
      <c r="P745" s="19"/>
      <c r="Q745" s="19"/>
      <c r="R745" s="17"/>
    </row>
    <row r="746" spans="1:18">
      <c r="A746" s="17"/>
      <c r="C746" s="19"/>
      <c r="D746" s="19"/>
      <c r="E746" s="19"/>
      <c r="F746" s="19"/>
      <c r="G746" s="19"/>
      <c r="H746" s="19"/>
      <c r="I746" s="19"/>
      <c r="J746" s="19"/>
      <c r="K746" s="19"/>
      <c r="L746" s="19"/>
      <c r="M746" s="19"/>
      <c r="N746" s="19"/>
      <c r="O746" s="19"/>
      <c r="P746" s="19"/>
      <c r="Q746" s="19"/>
      <c r="R746" s="17"/>
    </row>
    <row r="747" spans="1:18">
      <c r="A747" s="17"/>
      <c r="C747" s="19"/>
      <c r="D747" s="19"/>
      <c r="E747" s="19"/>
      <c r="F747" s="19"/>
      <c r="G747" s="19"/>
      <c r="H747" s="19"/>
      <c r="I747" s="19"/>
      <c r="J747" s="19"/>
      <c r="K747" s="19"/>
      <c r="L747" s="19"/>
      <c r="M747" s="19"/>
      <c r="N747" s="19"/>
      <c r="O747" s="19"/>
      <c r="P747" s="19"/>
      <c r="Q747" s="19"/>
      <c r="R747" s="17"/>
    </row>
    <row r="748" spans="1:18">
      <c r="A748" s="17"/>
      <c r="C748" s="19"/>
      <c r="D748" s="19"/>
      <c r="E748" s="19"/>
      <c r="F748" s="19"/>
      <c r="G748" s="19"/>
      <c r="H748" s="19"/>
      <c r="I748" s="19"/>
      <c r="J748" s="19"/>
      <c r="K748" s="19"/>
      <c r="L748" s="19"/>
      <c r="M748" s="19"/>
      <c r="N748" s="19"/>
      <c r="O748" s="19"/>
      <c r="P748" s="19"/>
      <c r="Q748" s="19"/>
      <c r="R748" s="17"/>
    </row>
    <row r="749" spans="1:18">
      <c r="A749" s="17"/>
      <c r="C749" s="19"/>
      <c r="D749" s="19"/>
      <c r="E749" s="19"/>
      <c r="F749" s="19"/>
      <c r="G749" s="19"/>
      <c r="H749" s="19"/>
      <c r="I749" s="19"/>
      <c r="J749" s="19"/>
      <c r="K749" s="19"/>
      <c r="L749" s="19"/>
      <c r="M749" s="19"/>
      <c r="N749" s="19"/>
      <c r="O749" s="19"/>
      <c r="P749" s="19"/>
      <c r="Q749" s="19"/>
      <c r="R749" s="17"/>
    </row>
    <row r="750" spans="1:18">
      <c r="A750" s="17"/>
      <c r="C750" s="19"/>
      <c r="D750" s="19"/>
      <c r="E750" s="19"/>
      <c r="F750" s="19"/>
      <c r="G750" s="19"/>
      <c r="H750" s="19"/>
      <c r="I750" s="19"/>
      <c r="J750" s="19"/>
      <c r="K750" s="19"/>
      <c r="L750" s="19"/>
      <c r="M750" s="19"/>
      <c r="N750" s="19"/>
      <c r="O750" s="19"/>
      <c r="P750" s="19"/>
      <c r="Q750" s="19"/>
      <c r="R750" s="17"/>
    </row>
    <row r="751" spans="1:18">
      <c r="A751" s="17"/>
      <c r="C751" s="19"/>
      <c r="D751" s="19"/>
      <c r="E751" s="19"/>
      <c r="F751" s="19"/>
      <c r="G751" s="19"/>
      <c r="H751" s="19"/>
      <c r="I751" s="19"/>
      <c r="J751" s="19"/>
      <c r="K751" s="19"/>
      <c r="L751" s="19"/>
      <c r="M751" s="19"/>
      <c r="N751" s="19"/>
      <c r="O751" s="19"/>
      <c r="P751" s="19"/>
      <c r="Q751" s="19"/>
      <c r="R751" s="17"/>
    </row>
    <row r="752" spans="1:18">
      <c r="A752" s="17"/>
      <c r="C752" s="19"/>
      <c r="D752" s="19"/>
      <c r="E752" s="19"/>
      <c r="F752" s="19"/>
      <c r="G752" s="19"/>
      <c r="H752" s="19"/>
      <c r="I752" s="19"/>
      <c r="J752" s="19"/>
      <c r="K752" s="19"/>
      <c r="L752" s="19"/>
      <c r="M752" s="19"/>
      <c r="N752" s="19"/>
      <c r="O752" s="19"/>
      <c r="P752" s="19"/>
      <c r="Q752" s="19"/>
      <c r="R752" s="17"/>
    </row>
    <row r="753" spans="1:18">
      <c r="A753" s="17"/>
      <c r="C753" s="19"/>
      <c r="D753" s="19"/>
      <c r="E753" s="19"/>
      <c r="F753" s="19"/>
      <c r="G753" s="19"/>
      <c r="H753" s="19"/>
      <c r="I753" s="19"/>
      <c r="J753" s="19"/>
      <c r="K753" s="19"/>
      <c r="L753" s="19"/>
      <c r="M753" s="19"/>
      <c r="N753" s="19"/>
      <c r="O753" s="19"/>
      <c r="P753" s="19"/>
      <c r="Q753" s="19"/>
      <c r="R753" s="17"/>
    </row>
    <row r="754" spans="1:18">
      <c r="A754" s="17"/>
      <c r="C754" s="19"/>
      <c r="D754" s="19"/>
      <c r="E754" s="19"/>
      <c r="F754" s="19"/>
      <c r="G754" s="19"/>
      <c r="H754" s="19"/>
      <c r="I754" s="19"/>
      <c r="J754" s="19"/>
      <c r="K754" s="19"/>
      <c r="L754" s="19"/>
      <c r="M754" s="19"/>
      <c r="N754" s="19"/>
      <c r="O754" s="19"/>
      <c r="P754" s="19"/>
      <c r="Q754" s="19"/>
      <c r="R754" s="17"/>
    </row>
    <row r="755" spans="1:18">
      <c r="A755" s="17"/>
      <c r="C755" s="19"/>
      <c r="D755" s="19"/>
      <c r="E755" s="19"/>
      <c r="F755" s="19"/>
      <c r="G755" s="19"/>
      <c r="H755" s="19"/>
      <c r="I755" s="19"/>
      <c r="J755" s="19"/>
      <c r="K755" s="19"/>
      <c r="L755" s="19"/>
      <c r="M755" s="19"/>
      <c r="N755" s="19"/>
      <c r="O755" s="19"/>
      <c r="P755" s="19"/>
      <c r="Q755" s="19"/>
      <c r="R755" s="17"/>
    </row>
    <row r="756" spans="1:18">
      <c r="A756" s="17"/>
      <c r="C756" s="19"/>
      <c r="D756" s="19"/>
      <c r="E756" s="19"/>
      <c r="F756" s="19"/>
      <c r="G756" s="19"/>
      <c r="H756" s="19"/>
      <c r="I756" s="19"/>
      <c r="J756" s="19"/>
      <c r="K756" s="19"/>
      <c r="L756" s="19"/>
      <c r="M756" s="19"/>
      <c r="N756" s="19"/>
      <c r="O756" s="19"/>
      <c r="P756" s="19"/>
      <c r="Q756" s="19"/>
      <c r="R756" s="17"/>
    </row>
    <row r="757" spans="1:18">
      <c r="A757" s="17"/>
      <c r="C757" s="19"/>
      <c r="D757" s="19"/>
      <c r="E757" s="19"/>
      <c r="F757" s="19"/>
      <c r="G757" s="19"/>
      <c r="H757" s="19"/>
      <c r="I757" s="19"/>
      <c r="J757" s="19"/>
      <c r="K757" s="19"/>
      <c r="L757" s="19"/>
      <c r="M757" s="19"/>
      <c r="N757" s="19"/>
      <c r="O757" s="19"/>
      <c r="P757" s="19"/>
      <c r="Q757" s="19"/>
      <c r="R757" s="17"/>
    </row>
    <row r="758" spans="1:18">
      <c r="A758" s="17"/>
      <c r="C758" s="19"/>
      <c r="D758" s="19"/>
      <c r="E758" s="19"/>
      <c r="F758" s="19"/>
      <c r="G758" s="19"/>
      <c r="H758" s="19"/>
      <c r="I758" s="19"/>
      <c r="J758" s="19"/>
      <c r="K758" s="19"/>
      <c r="L758" s="19"/>
      <c r="M758" s="19"/>
      <c r="N758" s="19"/>
      <c r="O758" s="19"/>
      <c r="P758" s="19"/>
      <c r="Q758" s="19"/>
      <c r="R758" s="17"/>
    </row>
    <row r="759" spans="1:18">
      <c r="A759" s="17"/>
      <c r="C759" s="19"/>
      <c r="D759" s="19"/>
      <c r="E759" s="19"/>
      <c r="F759" s="19"/>
      <c r="G759" s="19"/>
      <c r="H759" s="19"/>
      <c r="I759" s="19"/>
      <c r="J759" s="19"/>
      <c r="K759" s="19"/>
      <c r="L759" s="19"/>
      <c r="M759" s="19"/>
      <c r="N759" s="19"/>
      <c r="O759" s="19"/>
      <c r="P759" s="19"/>
      <c r="Q759" s="19"/>
      <c r="R759" s="17"/>
    </row>
    <row r="760" spans="1:18">
      <c r="A760" s="17"/>
      <c r="C760" s="19"/>
      <c r="D760" s="19"/>
      <c r="E760" s="19"/>
      <c r="F760" s="19"/>
      <c r="G760" s="19"/>
      <c r="H760" s="19"/>
      <c r="I760" s="19"/>
      <c r="J760" s="19"/>
      <c r="K760" s="19"/>
      <c r="L760" s="19"/>
      <c r="M760" s="19"/>
      <c r="N760" s="19"/>
      <c r="O760" s="19"/>
      <c r="P760" s="19"/>
      <c r="Q760" s="19"/>
      <c r="R760" s="17"/>
    </row>
    <row r="761" spans="1:18">
      <c r="A761" s="17"/>
      <c r="C761" s="19"/>
      <c r="D761" s="19"/>
      <c r="E761" s="19"/>
      <c r="F761" s="19"/>
      <c r="G761" s="19"/>
      <c r="H761" s="19"/>
      <c r="I761" s="19"/>
      <c r="J761" s="19"/>
      <c r="K761" s="19"/>
      <c r="L761" s="19"/>
      <c r="M761" s="19"/>
      <c r="N761" s="19"/>
      <c r="O761" s="19"/>
      <c r="P761" s="19"/>
      <c r="Q761" s="19"/>
      <c r="R761" s="17"/>
    </row>
    <row r="762" spans="1:18">
      <c r="A762" s="17"/>
      <c r="C762" s="19"/>
      <c r="D762" s="19"/>
      <c r="E762" s="19"/>
      <c r="F762" s="19"/>
      <c r="G762" s="19"/>
      <c r="H762" s="19"/>
      <c r="I762" s="19"/>
      <c r="J762" s="19"/>
      <c r="K762" s="19"/>
      <c r="L762" s="19"/>
      <c r="M762" s="19"/>
      <c r="N762" s="19"/>
      <c r="O762" s="19"/>
      <c r="P762" s="19"/>
      <c r="Q762" s="19"/>
      <c r="R762" s="17"/>
    </row>
    <row r="763" spans="1:18">
      <c r="A763" s="17"/>
      <c r="C763" s="19"/>
      <c r="D763" s="19"/>
      <c r="E763" s="19"/>
      <c r="F763" s="19"/>
      <c r="G763" s="19"/>
      <c r="H763" s="19"/>
      <c r="I763" s="19"/>
      <c r="J763" s="19"/>
      <c r="K763" s="19"/>
      <c r="L763" s="19"/>
      <c r="M763" s="19"/>
      <c r="N763" s="19"/>
      <c r="O763" s="19"/>
      <c r="P763" s="19"/>
      <c r="Q763" s="19"/>
      <c r="R763" s="17"/>
    </row>
    <row r="764" spans="1:18">
      <c r="A764" s="17"/>
      <c r="C764" s="19"/>
      <c r="D764" s="19"/>
      <c r="E764" s="19"/>
      <c r="F764" s="19"/>
      <c r="G764" s="19"/>
      <c r="H764" s="19"/>
      <c r="I764" s="19"/>
      <c r="J764" s="19"/>
      <c r="K764" s="19"/>
      <c r="L764" s="19"/>
      <c r="M764" s="19"/>
      <c r="N764" s="19"/>
      <c r="O764" s="19"/>
      <c r="P764" s="19"/>
      <c r="Q764" s="19"/>
      <c r="R764" s="17"/>
    </row>
    <row r="765" spans="1:18">
      <c r="A765" s="17"/>
      <c r="C765" s="19"/>
      <c r="D765" s="19"/>
      <c r="E765" s="19"/>
      <c r="F765" s="19"/>
      <c r="G765" s="19"/>
      <c r="H765" s="19"/>
      <c r="I765" s="19"/>
      <c r="J765" s="19"/>
      <c r="K765" s="19"/>
      <c r="L765" s="19"/>
      <c r="M765" s="19"/>
      <c r="N765" s="19"/>
      <c r="O765" s="19"/>
      <c r="P765" s="19"/>
      <c r="Q765" s="19"/>
      <c r="R765" s="17"/>
    </row>
    <row r="766" spans="1:18">
      <c r="A766" s="17"/>
      <c r="C766" s="19"/>
      <c r="D766" s="19"/>
      <c r="E766" s="19"/>
      <c r="F766" s="19"/>
      <c r="G766" s="19"/>
      <c r="H766" s="19"/>
      <c r="I766" s="19"/>
      <c r="J766" s="19"/>
      <c r="K766" s="19"/>
      <c r="L766" s="19"/>
      <c r="M766" s="19"/>
      <c r="N766" s="19"/>
      <c r="O766" s="19"/>
      <c r="P766" s="19"/>
      <c r="Q766" s="19"/>
      <c r="R766" s="17"/>
    </row>
    <row r="767" spans="1:18">
      <c r="A767" s="17"/>
      <c r="C767" s="19"/>
      <c r="D767" s="19"/>
      <c r="E767" s="19"/>
      <c r="F767" s="19"/>
      <c r="G767" s="19"/>
      <c r="H767" s="19"/>
      <c r="I767" s="19"/>
      <c r="J767" s="19"/>
      <c r="K767" s="19"/>
      <c r="L767" s="19"/>
      <c r="M767" s="19"/>
      <c r="N767" s="19"/>
      <c r="O767" s="19"/>
      <c r="P767" s="19"/>
      <c r="Q767" s="19"/>
      <c r="R767" s="17"/>
    </row>
    <row r="768" spans="1:18">
      <c r="A768" s="17"/>
      <c r="C768" s="19"/>
      <c r="D768" s="19"/>
      <c r="E768" s="19"/>
      <c r="F768" s="19"/>
      <c r="G768" s="19"/>
      <c r="H768" s="19"/>
      <c r="I768" s="19"/>
      <c r="J768" s="19"/>
      <c r="K768" s="19"/>
      <c r="L768" s="19"/>
      <c r="M768" s="19"/>
      <c r="N768" s="19"/>
      <c r="O768" s="19"/>
      <c r="P768" s="19"/>
      <c r="Q768" s="19"/>
      <c r="R768" s="17"/>
    </row>
    <row r="769" spans="1:18">
      <c r="A769" s="17"/>
      <c r="C769" s="19"/>
      <c r="D769" s="19"/>
      <c r="E769" s="19"/>
      <c r="F769" s="19"/>
      <c r="G769" s="19"/>
      <c r="H769" s="19"/>
      <c r="I769" s="19"/>
      <c r="J769" s="19"/>
      <c r="K769" s="19"/>
      <c r="L769" s="19"/>
      <c r="M769" s="19"/>
      <c r="N769" s="19"/>
      <c r="O769" s="19"/>
      <c r="P769" s="19"/>
      <c r="Q769" s="19"/>
      <c r="R769" s="17"/>
    </row>
    <row r="770" spans="1:18">
      <c r="A770" s="17"/>
      <c r="C770" s="19"/>
      <c r="D770" s="19"/>
      <c r="E770" s="19"/>
      <c r="F770" s="19"/>
      <c r="G770" s="19"/>
      <c r="H770" s="19"/>
      <c r="I770" s="19"/>
      <c r="J770" s="19"/>
      <c r="K770" s="19"/>
      <c r="L770" s="19"/>
      <c r="M770" s="19"/>
      <c r="N770" s="19"/>
      <c r="O770" s="19"/>
      <c r="P770" s="19"/>
      <c r="Q770" s="19"/>
      <c r="R770" s="17"/>
    </row>
    <row r="771" spans="1:18">
      <c r="A771" s="17"/>
      <c r="C771" s="19"/>
      <c r="D771" s="19"/>
      <c r="E771" s="19"/>
      <c r="F771" s="19"/>
      <c r="G771" s="19"/>
      <c r="H771" s="19"/>
      <c r="I771" s="19"/>
      <c r="J771" s="19"/>
      <c r="K771" s="19"/>
      <c r="L771" s="19"/>
      <c r="M771" s="19"/>
      <c r="N771" s="19"/>
      <c r="O771" s="19"/>
      <c r="P771" s="19"/>
      <c r="Q771" s="19"/>
      <c r="R771" s="17"/>
    </row>
    <row r="772" spans="1:18">
      <c r="A772" s="17"/>
      <c r="C772" s="19"/>
      <c r="D772" s="19"/>
      <c r="E772" s="19"/>
      <c r="F772" s="19"/>
      <c r="G772" s="19"/>
      <c r="H772" s="19"/>
      <c r="I772" s="19"/>
      <c r="J772" s="19"/>
      <c r="K772" s="19"/>
      <c r="L772" s="19"/>
      <c r="M772" s="19"/>
      <c r="N772" s="19"/>
      <c r="O772" s="19"/>
      <c r="P772" s="19"/>
      <c r="Q772" s="19"/>
      <c r="R772" s="17"/>
    </row>
    <row r="773" spans="1:18">
      <c r="A773" s="17"/>
      <c r="C773" s="19"/>
      <c r="D773" s="19"/>
      <c r="E773" s="19"/>
      <c r="F773" s="19"/>
      <c r="G773" s="19"/>
      <c r="H773" s="19"/>
      <c r="I773" s="19"/>
      <c r="J773" s="19"/>
      <c r="K773" s="19"/>
      <c r="L773" s="19"/>
      <c r="M773" s="19"/>
      <c r="N773" s="19"/>
      <c r="O773" s="19"/>
      <c r="P773" s="19"/>
      <c r="Q773" s="19"/>
      <c r="R773" s="17"/>
    </row>
    <row r="774" spans="1:18">
      <c r="A774" s="17"/>
      <c r="C774" s="19"/>
      <c r="D774" s="19"/>
      <c r="E774" s="19"/>
      <c r="F774" s="19"/>
      <c r="G774" s="19"/>
      <c r="H774" s="19"/>
      <c r="I774" s="19"/>
      <c r="J774" s="19"/>
      <c r="K774" s="19"/>
      <c r="L774" s="19"/>
      <c r="M774" s="19"/>
      <c r="N774" s="19"/>
      <c r="O774" s="19"/>
      <c r="P774" s="19"/>
      <c r="Q774" s="19"/>
      <c r="R774" s="17"/>
    </row>
    <row r="775" spans="1:18">
      <c r="A775" s="17"/>
      <c r="C775" s="19"/>
      <c r="D775" s="19"/>
      <c r="E775" s="19"/>
      <c r="F775" s="19"/>
      <c r="G775" s="19"/>
      <c r="H775" s="19"/>
      <c r="I775" s="19"/>
      <c r="J775" s="19"/>
      <c r="K775" s="19"/>
      <c r="L775" s="19"/>
      <c r="M775" s="19"/>
      <c r="N775" s="19"/>
      <c r="O775" s="19"/>
      <c r="P775" s="19"/>
      <c r="Q775" s="19"/>
      <c r="R775" s="17"/>
    </row>
    <row r="776" spans="1:18">
      <c r="A776" s="17"/>
      <c r="C776" s="19"/>
      <c r="D776" s="19"/>
      <c r="E776" s="19"/>
      <c r="F776" s="19"/>
      <c r="G776" s="19"/>
      <c r="H776" s="19"/>
      <c r="I776" s="19"/>
      <c r="J776" s="19"/>
      <c r="K776" s="19"/>
      <c r="L776" s="19"/>
      <c r="M776" s="19"/>
      <c r="N776" s="19"/>
      <c r="O776" s="19"/>
      <c r="P776" s="19"/>
      <c r="Q776" s="19"/>
      <c r="R776" s="17"/>
    </row>
    <row r="777" spans="1:18">
      <c r="A777" s="17"/>
      <c r="C777" s="19"/>
      <c r="D777" s="19"/>
      <c r="E777" s="19"/>
      <c r="F777" s="19"/>
      <c r="G777" s="19"/>
      <c r="H777" s="19"/>
      <c r="I777" s="19"/>
      <c r="J777" s="19"/>
      <c r="K777" s="19"/>
      <c r="L777" s="19"/>
      <c r="M777" s="19"/>
      <c r="N777" s="19"/>
      <c r="O777" s="19"/>
      <c r="P777" s="19"/>
      <c r="Q777" s="19"/>
      <c r="R777" s="17"/>
    </row>
    <row r="778" spans="1:18">
      <c r="A778" s="17"/>
      <c r="C778" s="19"/>
      <c r="D778" s="19"/>
      <c r="E778" s="19"/>
      <c r="F778" s="19"/>
      <c r="G778" s="19"/>
      <c r="H778" s="19"/>
      <c r="I778" s="19"/>
      <c r="J778" s="19"/>
      <c r="K778" s="19"/>
      <c r="L778" s="19"/>
      <c r="M778" s="19"/>
      <c r="N778" s="19"/>
      <c r="O778" s="19"/>
      <c r="P778" s="19"/>
      <c r="Q778" s="19"/>
      <c r="R778" s="17"/>
    </row>
    <row r="779" spans="1:18">
      <c r="A779" s="17"/>
      <c r="C779" s="19"/>
      <c r="D779" s="19"/>
      <c r="E779" s="19"/>
      <c r="F779" s="19"/>
      <c r="G779" s="19"/>
      <c r="H779" s="19"/>
      <c r="I779" s="19"/>
      <c r="J779" s="19"/>
      <c r="K779" s="19"/>
      <c r="L779" s="19"/>
      <c r="M779" s="19"/>
      <c r="N779" s="19"/>
      <c r="O779" s="19"/>
      <c r="P779" s="19"/>
      <c r="Q779" s="19"/>
      <c r="R779" s="17"/>
    </row>
    <row r="780" spans="1:18">
      <c r="A780" s="17"/>
      <c r="C780" s="19"/>
      <c r="D780" s="19"/>
      <c r="E780" s="19"/>
      <c r="F780" s="19"/>
      <c r="G780" s="19"/>
      <c r="H780" s="19"/>
      <c r="I780" s="19"/>
      <c r="J780" s="19"/>
      <c r="K780" s="19"/>
      <c r="L780" s="19"/>
      <c r="M780" s="19"/>
      <c r="N780" s="19"/>
      <c r="O780" s="19"/>
      <c r="P780" s="19"/>
      <c r="Q780" s="19"/>
      <c r="R780" s="17"/>
    </row>
    <row r="781" spans="1:18">
      <c r="A781" s="17"/>
      <c r="C781" s="19"/>
      <c r="D781" s="19"/>
      <c r="E781" s="19"/>
      <c r="F781" s="19"/>
      <c r="G781" s="19"/>
      <c r="H781" s="19"/>
      <c r="I781" s="19"/>
      <c r="J781" s="19"/>
      <c r="K781" s="19"/>
      <c r="L781" s="19"/>
      <c r="M781" s="19"/>
      <c r="N781" s="19"/>
      <c r="O781" s="19"/>
      <c r="P781" s="19"/>
      <c r="Q781" s="19"/>
      <c r="R781" s="17"/>
    </row>
    <row r="782" spans="1:18">
      <c r="A782" s="17"/>
      <c r="C782" s="19"/>
      <c r="D782" s="19"/>
      <c r="E782" s="19"/>
      <c r="F782" s="19"/>
      <c r="G782" s="19"/>
      <c r="H782" s="19"/>
      <c r="I782" s="19"/>
      <c r="J782" s="19"/>
      <c r="K782" s="19"/>
      <c r="L782" s="19"/>
      <c r="M782" s="19"/>
      <c r="N782" s="19"/>
      <c r="O782" s="19"/>
      <c r="P782" s="19"/>
      <c r="Q782" s="19"/>
      <c r="R782" s="17"/>
    </row>
    <row r="783" spans="1:18">
      <c r="A783" s="17"/>
      <c r="C783" s="19"/>
      <c r="D783" s="19"/>
      <c r="E783" s="19"/>
      <c r="F783" s="19"/>
      <c r="G783" s="19"/>
      <c r="H783" s="19"/>
      <c r="I783" s="19"/>
      <c r="J783" s="19"/>
      <c r="K783" s="19"/>
      <c r="L783" s="19"/>
      <c r="M783" s="19"/>
      <c r="N783" s="19"/>
      <c r="O783" s="19"/>
      <c r="P783" s="19"/>
      <c r="Q783" s="19"/>
      <c r="R783" s="17"/>
    </row>
    <row r="784" spans="1:18">
      <c r="A784" s="17"/>
      <c r="C784" s="19"/>
      <c r="D784" s="19"/>
      <c r="E784" s="19"/>
      <c r="F784" s="19"/>
      <c r="G784" s="19"/>
      <c r="H784" s="19"/>
      <c r="I784" s="19"/>
      <c r="J784" s="19"/>
      <c r="K784" s="19"/>
      <c r="L784" s="19"/>
      <c r="M784" s="19"/>
      <c r="N784" s="19"/>
      <c r="O784" s="19"/>
      <c r="P784" s="19"/>
      <c r="Q784" s="19"/>
      <c r="R784" s="17"/>
    </row>
    <row r="785" spans="1:18">
      <c r="A785" s="17"/>
      <c r="C785" s="19"/>
      <c r="D785" s="19"/>
      <c r="E785" s="19"/>
      <c r="F785" s="19"/>
      <c r="G785" s="19"/>
      <c r="H785" s="19"/>
      <c r="I785" s="19"/>
      <c r="J785" s="19"/>
      <c r="K785" s="19"/>
      <c r="L785" s="19"/>
      <c r="M785" s="19"/>
      <c r="N785" s="19"/>
      <c r="O785" s="19"/>
      <c r="P785" s="19"/>
      <c r="Q785" s="19"/>
      <c r="R785" s="17"/>
    </row>
    <row r="786" spans="1:18">
      <c r="A786" s="17"/>
      <c r="C786" s="19"/>
      <c r="D786" s="19"/>
      <c r="E786" s="19"/>
      <c r="F786" s="19"/>
      <c r="G786" s="19"/>
      <c r="H786" s="19"/>
      <c r="I786" s="19"/>
      <c r="J786" s="19"/>
      <c r="K786" s="19"/>
      <c r="L786" s="19"/>
      <c r="M786" s="19"/>
      <c r="N786" s="19"/>
      <c r="O786" s="19"/>
      <c r="P786" s="19"/>
      <c r="Q786" s="19"/>
      <c r="R786" s="17"/>
    </row>
    <row r="787" spans="1:18">
      <c r="A787" s="17"/>
      <c r="C787" s="19"/>
      <c r="D787" s="19"/>
      <c r="E787" s="19"/>
      <c r="F787" s="19"/>
      <c r="G787" s="19"/>
      <c r="H787" s="19"/>
      <c r="I787" s="19"/>
      <c r="J787" s="19"/>
      <c r="K787" s="19"/>
      <c r="L787" s="19"/>
      <c r="M787" s="19"/>
      <c r="N787" s="19"/>
      <c r="O787" s="19"/>
      <c r="P787" s="19"/>
      <c r="Q787" s="19"/>
      <c r="R787" s="17"/>
    </row>
    <row r="788" spans="1:18">
      <c r="A788" s="17"/>
      <c r="C788" s="19"/>
      <c r="D788" s="19"/>
      <c r="E788" s="19"/>
      <c r="F788" s="19"/>
      <c r="G788" s="19"/>
      <c r="H788" s="19"/>
      <c r="I788" s="19"/>
      <c r="J788" s="19"/>
      <c r="K788" s="19"/>
      <c r="L788" s="19"/>
      <c r="M788" s="19"/>
      <c r="N788" s="19"/>
      <c r="O788" s="19"/>
      <c r="P788" s="19"/>
      <c r="Q788" s="19"/>
      <c r="R788" s="17"/>
    </row>
    <row r="789" spans="1:18">
      <c r="A789" s="17"/>
      <c r="C789" s="19"/>
      <c r="D789" s="19"/>
      <c r="E789" s="19"/>
      <c r="F789" s="19"/>
      <c r="G789" s="19"/>
      <c r="H789" s="19"/>
      <c r="I789" s="19"/>
      <c r="J789" s="19"/>
      <c r="K789" s="19"/>
      <c r="L789" s="19"/>
      <c r="M789" s="19"/>
      <c r="N789" s="19"/>
      <c r="O789" s="19"/>
      <c r="P789" s="19"/>
      <c r="Q789" s="19"/>
      <c r="R789" s="17"/>
    </row>
    <row r="790" spans="1:18">
      <c r="A790" s="17"/>
      <c r="C790" s="19"/>
      <c r="D790" s="19"/>
      <c r="E790" s="19"/>
      <c r="F790" s="19"/>
      <c r="G790" s="19"/>
      <c r="H790" s="19"/>
      <c r="I790" s="19"/>
      <c r="J790" s="19"/>
      <c r="K790" s="19"/>
      <c r="L790" s="19"/>
      <c r="M790" s="19"/>
      <c r="N790" s="19"/>
      <c r="O790" s="19"/>
      <c r="P790" s="19"/>
      <c r="Q790" s="19"/>
      <c r="R790" s="17"/>
    </row>
    <row r="791" spans="1:18">
      <c r="A791" s="17"/>
      <c r="C791" s="19"/>
      <c r="D791" s="19"/>
      <c r="E791" s="19"/>
      <c r="F791" s="19"/>
      <c r="G791" s="19"/>
      <c r="H791" s="19"/>
      <c r="I791" s="19"/>
      <c r="J791" s="19"/>
      <c r="K791" s="19"/>
      <c r="L791" s="19"/>
      <c r="M791" s="19"/>
      <c r="N791" s="19"/>
      <c r="O791" s="19"/>
      <c r="P791" s="19"/>
      <c r="Q791" s="19"/>
      <c r="R791" s="17"/>
    </row>
    <row r="792" spans="1:18">
      <c r="A792" s="17"/>
      <c r="C792" s="19"/>
      <c r="D792" s="19"/>
      <c r="E792" s="19"/>
      <c r="F792" s="19"/>
      <c r="G792" s="19"/>
      <c r="H792" s="19"/>
      <c r="I792" s="19"/>
      <c r="J792" s="19"/>
      <c r="K792" s="19"/>
      <c r="L792" s="19"/>
      <c r="M792" s="19"/>
      <c r="N792" s="19"/>
      <c r="O792" s="19"/>
      <c r="P792" s="19"/>
      <c r="Q792" s="19"/>
      <c r="R792" s="17"/>
    </row>
    <row r="793" spans="1:18">
      <c r="A793" s="17"/>
      <c r="C793" s="19"/>
      <c r="D793" s="19"/>
      <c r="E793" s="19"/>
      <c r="F793" s="19"/>
      <c r="G793" s="19"/>
      <c r="H793" s="19"/>
      <c r="I793" s="19"/>
      <c r="J793" s="19"/>
      <c r="K793" s="19"/>
      <c r="L793" s="19"/>
      <c r="M793" s="19"/>
      <c r="N793" s="19"/>
      <c r="O793" s="19"/>
      <c r="P793" s="19"/>
      <c r="Q793" s="19"/>
      <c r="R793" s="17"/>
    </row>
    <row r="794" spans="1:18">
      <c r="A794" s="17"/>
      <c r="C794" s="19"/>
      <c r="D794" s="19"/>
      <c r="E794" s="19"/>
      <c r="F794" s="19"/>
      <c r="G794" s="19"/>
      <c r="H794" s="19"/>
      <c r="I794" s="19"/>
      <c r="J794" s="19"/>
      <c r="K794" s="19"/>
      <c r="L794" s="19"/>
      <c r="M794" s="19"/>
      <c r="N794" s="19"/>
      <c r="O794" s="19"/>
      <c r="P794" s="19"/>
      <c r="Q794" s="19"/>
      <c r="R794" s="17"/>
    </row>
    <row r="795" spans="1:18">
      <c r="A795" s="17"/>
      <c r="C795" s="19"/>
      <c r="D795" s="19"/>
      <c r="E795" s="19"/>
      <c r="F795" s="19"/>
      <c r="G795" s="19"/>
      <c r="H795" s="19"/>
      <c r="I795" s="19"/>
      <c r="J795" s="19"/>
      <c r="K795" s="19"/>
      <c r="L795" s="19"/>
      <c r="M795" s="19"/>
      <c r="N795" s="19"/>
      <c r="O795" s="19"/>
      <c r="P795" s="19"/>
      <c r="Q795" s="19"/>
      <c r="R795" s="17"/>
    </row>
    <row r="796" spans="1:18">
      <c r="A796" s="17"/>
      <c r="C796" s="19"/>
      <c r="D796" s="19"/>
      <c r="E796" s="19"/>
      <c r="F796" s="19"/>
      <c r="G796" s="19"/>
      <c r="H796" s="19"/>
      <c r="I796" s="19"/>
      <c r="J796" s="19"/>
      <c r="K796" s="19"/>
      <c r="L796" s="19"/>
      <c r="M796" s="19"/>
      <c r="N796" s="19"/>
      <c r="O796" s="19"/>
      <c r="P796" s="19"/>
      <c r="Q796" s="19"/>
      <c r="R796" s="17"/>
    </row>
    <row r="797" spans="1:18">
      <c r="A797" s="17"/>
      <c r="C797" s="19"/>
      <c r="D797" s="19"/>
      <c r="E797" s="19"/>
      <c r="F797" s="19"/>
      <c r="G797" s="19"/>
      <c r="H797" s="19"/>
      <c r="I797" s="19"/>
      <c r="J797" s="19"/>
      <c r="K797" s="19"/>
      <c r="L797" s="19"/>
      <c r="M797" s="19"/>
      <c r="N797" s="19"/>
      <c r="O797" s="19"/>
      <c r="P797" s="19"/>
      <c r="Q797" s="19"/>
      <c r="R797" s="17"/>
    </row>
    <row r="798" spans="1:18">
      <c r="A798" s="17"/>
      <c r="C798" s="19"/>
      <c r="D798" s="19"/>
      <c r="E798" s="19"/>
      <c r="F798" s="19"/>
      <c r="G798" s="19"/>
      <c r="H798" s="19"/>
      <c r="I798" s="19"/>
      <c r="J798" s="19"/>
      <c r="K798" s="19"/>
      <c r="L798" s="19"/>
      <c r="M798" s="19"/>
      <c r="N798" s="19"/>
      <c r="O798" s="19"/>
      <c r="P798" s="19"/>
      <c r="Q798" s="19"/>
      <c r="R798" s="17"/>
    </row>
    <row r="799" spans="1:18">
      <c r="A799" s="17"/>
      <c r="C799" s="19"/>
      <c r="D799" s="19"/>
      <c r="E799" s="19"/>
      <c r="F799" s="19"/>
      <c r="G799" s="19"/>
      <c r="H799" s="19"/>
      <c r="I799" s="19"/>
      <c r="J799" s="19"/>
      <c r="K799" s="19"/>
      <c r="L799" s="19"/>
      <c r="M799" s="19"/>
      <c r="N799" s="19"/>
      <c r="O799" s="19"/>
      <c r="P799" s="19"/>
      <c r="Q799" s="19"/>
      <c r="R799" s="17"/>
    </row>
    <row r="800" spans="1:18">
      <c r="A800" s="17"/>
      <c r="C800" s="19"/>
      <c r="D800" s="19"/>
      <c r="E800" s="19"/>
      <c r="F800" s="19"/>
      <c r="G800" s="19"/>
      <c r="H800" s="19"/>
      <c r="I800" s="19"/>
      <c r="J800" s="19"/>
      <c r="K800" s="19"/>
      <c r="L800" s="19"/>
      <c r="M800" s="19"/>
      <c r="N800" s="19"/>
      <c r="O800" s="19"/>
      <c r="P800" s="19"/>
      <c r="Q800" s="19"/>
      <c r="R800" s="17"/>
    </row>
    <row r="801" spans="1:18">
      <c r="A801" s="17"/>
      <c r="C801" s="19"/>
      <c r="D801" s="19"/>
      <c r="E801" s="19"/>
      <c r="F801" s="19"/>
      <c r="G801" s="19"/>
      <c r="H801" s="19"/>
      <c r="I801" s="19"/>
      <c r="J801" s="19"/>
      <c r="K801" s="19"/>
      <c r="L801" s="19"/>
      <c r="M801" s="19"/>
      <c r="N801" s="19"/>
      <c r="O801" s="19"/>
      <c r="P801" s="19"/>
      <c r="Q801" s="19"/>
      <c r="R801" s="17"/>
    </row>
    <row r="802" spans="1:18">
      <c r="A802" s="17"/>
      <c r="C802" s="19"/>
      <c r="D802" s="19"/>
      <c r="E802" s="19"/>
      <c r="F802" s="19"/>
      <c r="G802" s="19"/>
      <c r="H802" s="19"/>
      <c r="I802" s="19"/>
      <c r="J802" s="19"/>
      <c r="K802" s="19"/>
      <c r="L802" s="19"/>
      <c r="M802" s="19"/>
      <c r="N802" s="19"/>
      <c r="O802" s="19"/>
      <c r="P802" s="19"/>
      <c r="Q802" s="19"/>
      <c r="R802" s="17"/>
    </row>
    <row r="803" spans="1:18">
      <c r="A803" s="17"/>
      <c r="C803" s="19"/>
      <c r="D803" s="19"/>
      <c r="E803" s="19"/>
      <c r="F803" s="19"/>
      <c r="G803" s="19"/>
      <c r="H803" s="19"/>
      <c r="I803" s="19"/>
      <c r="J803" s="19"/>
      <c r="K803" s="19"/>
      <c r="L803" s="19"/>
      <c r="M803" s="19"/>
      <c r="N803" s="19"/>
      <c r="O803" s="19"/>
      <c r="P803" s="19"/>
      <c r="Q803" s="19"/>
      <c r="R803" s="17"/>
    </row>
    <row r="804" spans="1:18">
      <c r="A804" s="17"/>
      <c r="C804" s="19"/>
      <c r="D804" s="19"/>
      <c r="E804" s="19"/>
      <c r="F804" s="19"/>
      <c r="G804" s="19"/>
      <c r="H804" s="19"/>
      <c r="I804" s="19"/>
      <c r="J804" s="19"/>
      <c r="K804" s="19"/>
      <c r="L804" s="19"/>
      <c r="M804" s="19"/>
      <c r="N804" s="19"/>
      <c r="O804" s="19"/>
      <c r="P804" s="19"/>
      <c r="Q804" s="19"/>
      <c r="R804" s="17"/>
    </row>
    <row r="805" spans="1:18">
      <c r="A805" s="17"/>
      <c r="C805" s="19"/>
      <c r="D805" s="19"/>
      <c r="E805" s="19"/>
      <c r="F805" s="19"/>
      <c r="G805" s="19"/>
      <c r="H805" s="19"/>
      <c r="I805" s="19"/>
      <c r="J805" s="19"/>
      <c r="K805" s="19"/>
      <c r="L805" s="19"/>
      <c r="M805" s="19"/>
      <c r="N805" s="19"/>
      <c r="O805" s="19"/>
      <c r="P805" s="19"/>
      <c r="Q805" s="19"/>
      <c r="R805" s="17"/>
    </row>
    <row r="806" spans="1:18">
      <c r="A806" s="17"/>
      <c r="C806" s="19"/>
      <c r="D806" s="19"/>
      <c r="E806" s="19"/>
      <c r="F806" s="19"/>
      <c r="G806" s="19"/>
      <c r="H806" s="19"/>
      <c r="I806" s="19"/>
      <c r="J806" s="19"/>
      <c r="K806" s="19"/>
      <c r="L806" s="19"/>
      <c r="M806" s="19"/>
      <c r="N806" s="19"/>
      <c r="O806" s="19"/>
      <c r="P806" s="19"/>
      <c r="Q806" s="19"/>
      <c r="R806" s="17"/>
    </row>
    <row r="807" spans="1:18">
      <c r="A807" s="17"/>
      <c r="C807" s="19"/>
      <c r="D807" s="19"/>
      <c r="E807" s="19"/>
      <c r="F807" s="19"/>
      <c r="G807" s="19"/>
      <c r="H807" s="19"/>
      <c r="I807" s="19"/>
      <c r="J807" s="19"/>
      <c r="K807" s="19"/>
      <c r="L807" s="19"/>
      <c r="M807" s="19"/>
      <c r="N807" s="19"/>
      <c r="O807" s="19"/>
      <c r="P807" s="19"/>
      <c r="Q807" s="19"/>
      <c r="R807" s="17"/>
    </row>
    <row r="808" spans="1:18">
      <c r="A808" s="17"/>
      <c r="C808" s="19"/>
      <c r="D808" s="19"/>
      <c r="E808" s="19"/>
      <c r="F808" s="19"/>
      <c r="G808" s="19"/>
      <c r="H808" s="19"/>
      <c r="I808" s="19"/>
      <c r="J808" s="19"/>
      <c r="K808" s="19"/>
      <c r="L808" s="19"/>
      <c r="M808" s="19"/>
      <c r="N808" s="19"/>
      <c r="O808" s="19"/>
      <c r="P808" s="19"/>
      <c r="Q808" s="19"/>
      <c r="R808" s="17"/>
    </row>
    <row r="809" spans="1:18">
      <c r="A809" s="17"/>
      <c r="C809" s="19"/>
      <c r="D809" s="19"/>
      <c r="E809" s="19"/>
      <c r="F809" s="19"/>
      <c r="G809" s="19"/>
      <c r="H809" s="19"/>
      <c r="I809" s="19"/>
      <c r="J809" s="19"/>
      <c r="K809" s="19"/>
      <c r="L809" s="19"/>
      <c r="M809" s="19"/>
      <c r="N809" s="19"/>
      <c r="O809" s="19"/>
      <c r="P809" s="19"/>
      <c r="Q809" s="19"/>
      <c r="R809" s="17"/>
    </row>
    <row r="810" spans="1:18">
      <c r="A810" s="17"/>
      <c r="C810" s="19"/>
      <c r="D810" s="19"/>
      <c r="E810" s="19"/>
      <c r="F810" s="19"/>
      <c r="G810" s="19"/>
      <c r="H810" s="19"/>
      <c r="I810" s="19"/>
      <c r="J810" s="19"/>
      <c r="K810" s="19"/>
      <c r="L810" s="19"/>
      <c r="M810" s="19"/>
      <c r="N810" s="19"/>
      <c r="O810" s="19"/>
      <c r="P810" s="19"/>
      <c r="Q810" s="19"/>
      <c r="R810" s="17"/>
    </row>
    <row r="811" spans="1:18">
      <c r="A811" s="17"/>
      <c r="C811" s="19"/>
      <c r="D811" s="19"/>
      <c r="E811" s="19"/>
      <c r="F811" s="19"/>
      <c r="G811" s="19"/>
      <c r="H811" s="19"/>
      <c r="I811" s="19"/>
      <c r="J811" s="19"/>
      <c r="K811" s="19"/>
      <c r="L811" s="19"/>
      <c r="M811" s="19"/>
      <c r="N811" s="19"/>
      <c r="O811" s="19"/>
      <c r="P811" s="19"/>
      <c r="Q811" s="19"/>
      <c r="R811" s="17"/>
    </row>
    <row r="812" spans="1:18">
      <c r="A812" s="17"/>
      <c r="C812" s="19"/>
      <c r="D812" s="19"/>
      <c r="E812" s="19"/>
      <c r="F812" s="19"/>
      <c r="G812" s="19"/>
      <c r="H812" s="19"/>
      <c r="I812" s="19"/>
      <c r="J812" s="19"/>
      <c r="K812" s="19"/>
      <c r="L812" s="19"/>
      <c r="M812" s="19"/>
      <c r="N812" s="19"/>
      <c r="O812" s="19"/>
      <c r="P812" s="19"/>
      <c r="Q812" s="19"/>
      <c r="R812" s="17"/>
    </row>
    <row r="813" spans="1:18">
      <c r="A813" s="17"/>
      <c r="C813" s="19"/>
      <c r="D813" s="19"/>
      <c r="E813" s="19"/>
      <c r="F813" s="19"/>
      <c r="G813" s="19"/>
      <c r="H813" s="19"/>
      <c r="I813" s="19"/>
      <c r="J813" s="19"/>
      <c r="K813" s="19"/>
      <c r="L813" s="19"/>
      <c r="M813" s="19"/>
      <c r="N813" s="19"/>
      <c r="O813" s="19"/>
      <c r="P813" s="19"/>
      <c r="Q813" s="19"/>
      <c r="R813" s="17"/>
    </row>
    <row r="814" spans="1:18">
      <c r="A814" s="17"/>
      <c r="C814" s="19"/>
      <c r="D814" s="19"/>
      <c r="E814" s="19"/>
      <c r="F814" s="19"/>
      <c r="G814" s="19"/>
      <c r="H814" s="19"/>
      <c r="I814" s="19"/>
      <c r="J814" s="19"/>
      <c r="K814" s="19"/>
      <c r="L814" s="19"/>
      <c r="M814" s="19"/>
      <c r="N814" s="19"/>
      <c r="O814" s="19"/>
      <c r="P814" s="19"/>
      <c r="Q814" s="19"/>
      <c r="R814" s="17"/>
    </row>
    <row r="815" spans="1:18">
      <c r="A815" s="17"/>
      <c r="C815" s="19"/>
      <c r="D815" s="19"/>
      <c r="E815" s="19"/>
      <c r="F815" s="19"/>
      <c r="G815" s="19"/>
      <c r="H815" s="19"/>
      <c r="I815" s="19"/>
      <c r="J815" s="19"/>
      <c r="K815" s="19"/>
      <c r="L815" s="19"/>
      <c r="M815" s="19"/>
      <c r="N815" s="19"/>
      <c r="O815" s="19"/>
      <c r="P815" s="19"/>
      <c r="Q815" s="19"/>
      <c r="R815" s="17"/>
    </row>
    <row r="816" spans="1:18">
      <c r="A816" s="17"/>
      <c r="C816" s="19"/>
      <c r="D816" s="19"/>
      <c r="E816" s="19"/>
      <c r="F816" s="19"/>
      <c r="G816" s="19"/>
      <c r="H816" s="19"/>
      <c r="I816" s="19"/>
      <c r="J816" s="19"/>
      <c r="K816" s="19"/>
      <c r="L816" s="19"/>
      <c r="M816" s="19"/>
      <c r="N816" s="19"/>
      <c r="O816" s="19"/>
      <c r="P816" s="19"/>
      <c r="Q816" s="19"/>
      <c r="R816" s="17"/>
    </row>
    <row r="817" spans="1:18">
      <c r="A817" s="17"/>
      <c r="C817" s="19"/>
      <c r="D817" s="19"/>
      <c r="E817" s="19"/>
      <c r="F817" s="19"/>
      <c r="G817" s="19"/>
      <c r="H817" s="19"/>
      <c r="I817" s="19"/>
      <c r="J817" s="19"/>
      <c r="K817" s="19"/>
      <c r="L817" s="19"/>
      <c r="M817" s="19"/>
      <c r="N817" s="19"/>
      <c r="O817" s="19"/>
      <c r="P817" s="19"/>
      <c r="Q817" s="19"/>
      <c r="R817" s="17"/>
    </row>
    <row r="818" spans="1:18">
      <c r="A818" s="17"/>
      <c r="C818" s="19"/>
      <c r="D818" s="19"/>
      <c r="E818" s="19"/>
      <c r="F818" s="19"/>
      <c r="G818" s="19"/>
      <c r="H818" s="19"/>
      <c r="I818" s="19"/>
      <c r="J818" s="19"/>
      <c r="K818" s="19"/>
      <c r="L818" s="19"/>
      <c r="M818" s="19"/>
      <c r="N818" s="19"/>
      <c r="O818" s="19"/>
      <c r="P818" s="19"/>
      <c r="Q818" s="19"/>
      <c r="R818" s="17"/>
    </row>
    <row r="819" spans="1:18">
      <c r="A819" s="17"/>
      <c r="C819" s="19"/>
      <c r="D819" s="19"/>
      <c r="E819" s="19"/>
      <c r="F819" s="19"/>
      <c r="G819" s="19"/>
      <c r="H819" s="19"/>
      <c r="I819" s="19"/>
      <c r="J819" s="19"/>
      <c r="K819" s="19"/>
      <c r="L819" s="19"/>
      <c r="M819" s="19"/>
      <c r="N819" s="19"/>
      <c r="O819" s="19"/>
      <c r="P819" s="19"/>
      <c r="Q819" s="19"/>
      <c r="R819" s="17"/>
    </row>
    <row r="820" spans="1:18">
      <c r="A820" s="17"/>
      <c r="C820" s="19"/>
      <c r="D820" s="19"/>
      <c r="E820" s="19"/>
      <c r="F820" s="19"/>
      <c r="G820" s="19"/>
      <c r="H820" s="19"/>
      <c r="I820" s="19"/>
      <c r="J820" s="19"/>
      <c r="K820" s="19"/>
      <c r="L820" s="19"/>
      <c r="M820" s="19"/>
      <c r="N820" s="19"/>
      <c r="O820" s="19"/>
      <c r="P820" s="19"/>
      <c r="Q820" s="19"/>
      <c r="R820" s="17"/>
    </row>
    <row r="821" spans="1:18">
      <c r="A821" s="17"/>
      <c r="C821" s="19"/>
      <c r="D821" s="19"/>
      <c r="E821" s="19"/>
      <c r="F821" s="19"/>
      <c r="G821" s="19"/>
      <c r="H821" s="19"/>
      <c r="I821" s="19"/>
      <c r="J821" s="19"/>
      <c r="K821" s="19"/>
      <c r="L821" s="19"/>
      <c r="M821" s="19"/>
      <c r="N821" s="19"/>
      <c r="O821" s="19"/>
      <c r="P821" s="19"/>
      <c r="Q821" s="19"/>
      <c r="R821" s="17"/>
    </row>
    <row r="822" spans="1:18">
      <c r="A822" s="17"/>
      <c r="C822" s="19"/>
      <c r="D822" s="19"/>
      <c r="E822" s="19"/>
      <c r="F822" s="19"/>
      <c r="G822" s="19"/>
      <c r="H822" s="19"/>
      <c r="I822" s="19"/>
      <c r="J822" s="19"/>
      <c r="K822" s="19"/>
      <c r="L822" s="19"/>
      <c r="M822" s="19"/>
      <c r="N822" s="19"/>
      <c r="O822" s="19"/>
      <c r="P822" s="19"/>
      <c r="Q822" s="19"/>
      <c r="R822" s="17"/>
    </row>
    <row r="823" spans="1:18">
      <c r="A823" s="17"/>
      <c r="C823" s="19"/>
      <c r="D823" s="19"/>
      <c r="E823" s="19"/>
      <c r="F823" s="19"/>
      <c r="G823" s="19"/>
      <c r="H823" s="19"/>
      <c r="I823" s="19"/>
      <c r="J823" s="19"/>
      <c r="K823" s="19"/>
      <c r="L823" s="19"/>
      <c r="M823" s="19"/>
      <c r="N823" s="19"/>
      <c r="O823" s="19"/>
      <c r="P823" s="19"/>
      <c r="Q823" s="19"/>
      <c r="R823" s="17"/>
    </row>
    <row r="824" spans="1:18">
      <c r="A824" s="17"/>
      <c r="C824" s="19"/>
      <c r="D824" s="19"/>
      <c r="E824" s="19"/>
      <c r="F824" s="19"/>
      <c r="G824" s="19"/>
      <c r="H824" s="19"/>
      <c r="I824" s="19"/>
      <c r="J824" s="19"/>
      <c r="K824" s="19"/>
      <c r="L824" s="19"/>
      <c r="M824" s="19"/>
      <c r="N824" s="19"/>
      <c r="O824" s="19"/>
      <c r="P824" s="19"/>
      <c r="Q824" s="19"/>
      <c r="R824" s="17"/>
    </row>
    <row r="825" spans="1:18">
      <c r="A825" s="17"/>
      <c r="C825" s="19"/>
      <c r="D825" s="19"/>
      <c r="E825" s="19"/>
      <c r="F825" s="19"/>
      <c r="G825" s="19"/>
      <c r="H825" s="19"/>
      <c r="I825" s="19"/>
      <c r="J825" s="19"/>
      <c r="K825" s="19"/>
      <c r="L825" s="19"/>
      <c r="M825" s="19"/>
      <c r="N825" s="19"/>
      <c r="O825" s="19"/>
      <c r="P825" s="19"/>
      <c r="Q825" s="19"/>
      <c r="R825" s="17"/>
    </row>
    <row r="826" spans="1:18">
      <c r="A826" s="17"/>
      <c r="C826" s="19"/>
      <c r="D826" s="19"/>
      <c r="E826" s="19"/>
      <c r="F826" s="19"/>
      <c r="G826" s="19"/>
      <c r="H826" s="19"/>
      <c r="I826" s="19"/>
      <c r="J826" s="19"/>
      <c r="K826" s="19"/>
      <c r="L826" s="19"/>
      <c r="M826" s="19"/>
      <c r="N826" s="19"/>
      <c r="O826" s="19"/>
      <c r="P826" s="19"/>
      <c r="Q826" s="19"/>
      <c r="R826" s="17"/>
    </row>
  </sheetData>
  <mergeCells count="47">
    <mergeCell ref="R63:R64"/>
    <mergeCell ref="R65:R66"/>
    <mergeCell ref="R67:R68"/>
    <mergeCell ref="R69:R70"/>
    <mergeCell ref="B14:C14"/>
    <mergeCell ref="D14:E14"/>
    <mergeCell ref="F14:R14"/>
    <mergeCell ref="R53:R54"/>
    <mergeCell ref="R55:R56"/>
    <mergeCell ref="R57:R58"/>
    <mergeCell ref="R59:R60"/>
    <mergeCell ref="R61:R62"/>
    <mergeCell ref="R45:R46"/>
    <mergeCell ref="R47:R48"/>
    <mergeCell ref="R49:R50"/>
    <mergeCell ref="R51:R52"/>
    <mergeCell ref="R32:R33"/>
    <mergeCell ref="R34:R35"/>
    <mergeCell ref="R36:R37"/>
    <mergeCell ref="R38:R39"/>
    <mergeCell ref="R43:R44"/>
    <mergeCell ref="A7:R7"/>
    <mergeCell ref="A75:B75"/>
    <mergeCell ref="A74:B74"/>
    <mergeCell ref="A17:A19"/>
    <mergeCell ref="B17:B19"/>
    <mergeCell ref="R21:R22"/>
    <mergeCell ref="R17:R19"/>
    <mergeCell ref="C17:N17"/>
    <mergeCell ref="R25:R26"/>
    <mergeCell ref="F10:R10"/>
    <mergeCell ref="F11:R11"/>
    <mergeCell ref="R41:R42"/>
    <mergeCell ref="R27:R28"/>
    <mergeCell ref="A9:R9"/>
    <mergeCell ref="R23:R24"/>
    <mergeCell ref="F12:R12"/>
    <mergeCell ref="R30:R31"/>
    <mergeCell ref="F13:R13"/>
    <mergeCell ref="B10:C10"/>
    <mergeCell ref="B11:C11"/>
    <mergeCell ref="B12:C12"/>
    <mergeCell ref="B13:C13"/>
    <mergeCell ref="D10:E10"/>
    <mergeCell ref="D11:E11"/>
    <mergeCell ref="D12:E12"/>
    <mergeCell ref="D13:E13"/>
  </mergeCells>
  <phoneticPr fontId="19" type="noConversion"/>
  <conditionalFormatting sqref="C21:Q21 C23:Q23 C25:Q25 C27:Q27">
    <cfRule type="cellIs" dxfId="78" priority="331" stopIfTrue="1" operator="equal">
      <formula>0</formula>
    </cfRule>
    <cfRule type="cellIs" dxfId="77" priority="332" stopIfTrue="1" operator="between">
      <formula>0.01</formula>
      <formula>1</formula>
    </cfRule>
  </conditionalFormatting>
  <conditionalFormatting sqref="C30:Q30 C32:Q32 C34:Q34 C36:Q36">
    <cfRule type="cellIs" dxfId="76" priority="60" stopIfTrue="1" operator="equal">
      <formula>0</formula>
    </cfRule>
    <cfRule type="cellIs" dxfId="75" priority="61" stopIfTrue="1" operator="between">
      <formula>0.01</formula>
      <formula>1</formula>
    </cfRule>
  </conditionalFormatting>
  <conditionalFormatting sqref="C38:Q38">
    <cfRule type="cellIs" dxfId="74" priority="47" stopIfTrue="1" operator="between">
      <formula>0.01</formula>
      <formula>1</formula>
    </cfRule>
    <cfRule type="cellIs" dxfId="73" priority="46" stopIfTrue="1" operator="equal">
      <formula>0</formula>
    </cfRule>
  </conditionalFormatting>
  <conditionalFormatting sqref="C41:Q41 C43:Q43 C45:Q45 C47:Q47">
    <cfRule type="cellIs" dxfId="72" priority="42" stopIfTrue="1" operator="between">
      <formula>0.01</formula>
      <formula>1</formula>
    </cfRule>
    <cfRule type="cellIs" dxfId="71" priority="41" stopIfTrue="1" operator="equal">
      <formula>0</formula>
    </cfRule>
  </conditionalFormatting>
  <conditionalFormatting sqref="C49:Q49">
    <cfRule type="cellIs" dxfId="70" priority="27" stopIfTrue="1" operator="equal">
      <formula>0</formula>
    </cfRule>
    <cfRule type="cellIs" dxfId="69" priority="28" stopIfTrue="1" operator="between">
      <formula>0.01</formula>
      <formula>1</formula>
    </cfRule>
  </conditionalFormatting>
  <conditionalFormatting sqref="C51:Q51">
    <cfRule type="cellIs" dxfId="68" priority="22" stopIfTrue="1" operator="equal">
      <formula>0</formula>
    </cfRule>
    <cfRule type="cellIs" dxfId="67" priority="23" stopIfTrue="1" operator="between">
      <formula>0.01</formula>
      <formula>1</formula>
    </cfRule>
  </conditionalFormatting>
  <conditionalFormatting sqref="C53:Q53">
    <cfRule type="cellIs" dxfId="66" priority="17" stopIfTrue="1" operator="equal">
      <formula>0</formula>
    </cfRule>
    <cfRule type="cellIs" dxfId="65" priority="18" stopIfTrue="1" operator="between">
      <formula>0.01</formula>
      <formula>1</formula>
    </cfRule>
  </conditionalFormatting>
  <conditionalFormatting sqref="C55:Q55">
    <cfRule type="cellIs" dxfId="64" priority="15" stopIfTrue="1" operator="equal">
      <formula>0</formula>
    </cfRule>
    <cfRule type="cellIs" dxfId="63" priority="16" stopIfTrue="1" operator="between">
      <formula>0.01</formula>
      <formula>1</formula>
    </cfRule>
  </conditionalFormatting>
  <conditionalFormatting sqref="C57:Q57">
    <cfRule type="cellIs" dxfId="62" priority="13" stopIfTrue="1" operator="equal">
      <formula>0</formula>
    </cfRule>
    <cfRule type="cellIs" dxfId="61" priority="14" stopIfTrue="1" operator="between">
      <formula>0.01</formula>
      <formula>1</formula>
    </cfRule>
  </conditionalFormatting>
  <conditionalFormatting sqref="C59:Q59">
    <cfRule type="cellIs" dxfId="60" priority="11" stopIfTrue="1" operator="equal">
      <formula>0</formula>
    </cfRule>
    <cfRule type="cellIs" dxfId="59" priority="12" stopIfTrue="1" operator="between">
      <formula>0.01</formula>
      <formula>1</formula>
    </cfRule>
  </conditionalFormatting>
  <conditionalFormatting sqref="C61:Q61">
    <cfRule type="cellIs" dxfId="58" priority="10" stopIfTrue="1" operator="between">
      <formula>0.01</formula>
      <formula>1</formula>
    </cfRule>
    <cfRule type="cellIs" dxfId="57" priority="9" stopIfTrue="1" operator="equal">
      <formula>0</formula>
    </cfRule>
  </conditionalFormatting>
  <conditionalFormatting sqref="C63:Q63">
    <cfRule type="cellIs" dxfId="56" priority="7" stopIfTrue="1" operator="equal">
      <formula>0</formula>
    </cfRule>
    <cfRule type="cellIs" dxfId="55" priority="8" stopIfTrue="1" operator="between">
      <formula>0.01</formula>
      <formula>1</formula>
    </cfRule>
  </conditionalFormatting>
  <conditionalFormatting sqref="C65:Q65">
    <cfRule type="cellIs" dxfId="54" priority="5" stopIfTrue="1" operator="equal">
      <formula>0</formula>
    </cfRule>
    <cfRule type="cellIs" dxfId="53" priority="6" stopIfTrue="1" operator="between">
      <formula>0.01</formula>
      <formula>1</formula>
    </cfRule>
  </conditionalFormatting>
  <conditionalFormatting sqref="C67:Q67">
    <cfRule type="cellIs" dxfId="52" priority="3" stopIfTrue="1" operator="equal">
      <formula>0</formula>
    </cfRule>
    <cfRule type="cellIs" dxfId="51" priority="4" stopIfTrue="1" operator="between">
      <formula>0.01</formula>
      <formula>1</formula>
    </cfRule>
  </conditionalFormatting>
  <conditionalFormatting sqref="C69:Q69">
    <cfRule type="cellIs" dxfId="50" priority="2" stopIfTrue="1" operator="between">
      <formula>0.01</formula>
      <formula>1</formula>
    </cfRule>
    <cfRule type="cellIs" dxfId="49" priority="1" stopIfTrue="1" operator="equal">
      <formula>0</formula>
    </cfRule>
  </conditionalFormatting>
  <conditionalFormatting sqref="T21">
    <cfRule type="cellIs" dxfId="48" priority="135" operator="equal">
      <formula>1</formula>
    </cfRule>
    <cfRule type="cellIs" dxfId="47" priority="136" operator="greaterThan">
      <formula>1</formula>
    </cfRule>
    <cfRule type="cellIs" dxfId="46" priority="137" operator="lessThan">
      <formula>1</formula>
    </cfRule>
  </conditionalFormatting>
  <conditionalFormatting sqref="T23">
    <cfRule type="cellIs" dxfId="45" priority="133" operator="greaterThan">
      <formula>1</formula>
    </cfRule>
    <cfRule type="cellIs" dxfId="44" priority="132" operator="equal">
      <formula>1</formula>
    </cfRule>
    <cfRule type="cellIs" dxfId="43" priority="134" operator="lessThan">
      <formula>1</formula>
    </cfRule>
  </conditionalFormatting>
  <conditionalFormatting sqref="T25">
    <cfRule type="cellIs" dxfId="42" priority="130" operator="greaterThan">
      <formula>1</formula>
    </cfRule>
    <cfRule type="cellIs" dxfId="41" priority="129" operator="equal">
      <formula>1</formula>
    </cfRule>
    <cfRule type="cellIs" dxfId="40" priority="131" operator="lessThan">
      <formula>1</formula>
    </cfRule>
  </conditionalFormatting>
  <conditionalFormatting sqref="T27">
    <cfRule type="cellIs" dxfId="39" priority="127" operator="greaterThan">
      <formula>1</formula>
    </cfRule>
    <cfRule type="cellIs" dxfId="38" priority="126" operator="equal">
      <formula>1</formula>
    </cfRule>
    <cfRule type="cellIs" dxfId="37" priority="128" operator="lessThan">
      <formula>1</formula>
    </cfRule>
  </conditionalFormatting>
  <conditionalFormatting sqref="T30">
    <cfRule type="cellIs" dxfId="36" priority="59" operator="lessThan">
      <formula>1</formula>
    </cfRule>
    <cfRule type="cellIs" dxfId="35" priority="58" operator="greaterThan">
      <formula>1</formula>
    </cfRule>
    <cfRule type="cellIs" dxfId="34" priority="57" operator="equal">
      <formula>1</formula>
    </cfRule>
  </conditionalFormatting>
  <conditionalFormatting sqref="T32">
    <cfRule type="cellIs" dxfId="33" priority="54" operator="equal">
      <formula>1</formula>
    </cfRule>
    <cfRule type="cellIs" dxfId="32" priority="55" operator="greaterThan">
      <formula>1</formula>
    </cfRule>
    <cfRule type="cellIs" dxfId="31" priority="56" operator="lessThan">
      <formula>1</formula>
    </cfRule>
  </conditionalFormatting>
  <conditionalFormatting sqref="T34">
    <cfRule type="cellIs" dxfId="30" priority="51" operator="equal">
      <formula>1</formula>
    </cfRule>
    <cfRule type="cellIs" dxfId="29" priority="52" operator="greaterThan">
      <formula>1</formula>
    </cfRule>
    <cfRule type="cellIs" dxfId="28" priority="53" operator="lessThan">
      <formula>1</formula>
    </cfRule>
  </conditionalFormatting>
  <conditionalFormatting sqref="T36">
    <cfRule type="cellIs" dxfId="27" priority="49" operator="greaterThan">
      <formula>1</formula>
    </cfRule>
    <cfRule type="cellIs" dxfId="26" priority="50" operator="lessThan">
      <formula>1</formula>
    </cfRule>
    <cfRule type="cellIs" dxfId="25" priority="48" operator="equal">
      <formula>1</formula>
    </cfRule>
  </conditionalFormatting>
  <conditionalFormatting sqref="T38">
    <cfRule type="cellIs" dxfId="24" priority="45" operator="lessThan">
      <formula>1</formula>
    </cfRule>
    <cfRule type="cellIs" dxfId="23" priority="43" operator="equal">
      <formula>1</formula>
    </cfRule>
    <cfRule type="cellIs" dxfId="22" priority="44" operator="greaterThan">
      <formula>1</formula>
    </cfRule>
  </conditionalFormatting>
  <conditionalFormatting sqref="T41">
    <cfRule type="cellIs" dxfId="21" priority="38" operator="equal">
      <formula>1</formula>
    </cfRule>
    <cfRule type="cellIs" dxfId="20" priority="39" operator="greaterThan">
      <formula>1</formula>
    </cfRule>
    <cfRule type="cellIs" dxfId="19" priority="40" operator="lessThan">
      <formula>1</formula>
    </cfRule>
  </conditionalFormatting>
  <conditionalFormatting sqref="T43">
    <cfRule type="cellIs" dxfId="18" priority="35" operator="equal">
      <formula>1</formula>
    </cfRule>
    <cfRule type="cellIs" dxfId="17" priority="37" operator="lessThan">
      <formula>1</formula>
    </cfRule>
    <cfRule type="cellIs" dxfId="16" priority="36" operator="greaterThan">
      <formula>1</formula>
    </cfRule>
  </conditionalFormatting>
  <conditionalFormatting sqref="T45">
    <cfRule type="cellIs" dxfId="15" priority="32" operator="equal">
      <formula>1</formula>
    </cfRule>
    <cfRule type="cellIs" dxfId="14" priority="33" operator="greaterThan">
      <formula>1</formula>
    </cfRule>
    <cfRule type="cellIs" dxfId="13" priority="34" operator="lessThan">
      <formula>1</formula>
    </cfRule>
  </conditionalFormatting>
  <conditionalFormatting sqref="T47">
    <cfRule type="cellIs" dxfId="12" priority="30" operator="greaterThan">
      <formula>1</formula>
    </cfRule>
    <cfRule type="cellIs" dxfId="11" priority="29" operator="equal">
      <formula>1</formula>
    </cfRule>
    <cfRule type="cellIs" dxfId="10" priority="31" operator="lessThan">
      <formula>1</formula>
    </cfRule>
  </conditionalFormatting>
  <conditionalFormatting sqref="T49">
    <cfRule type="cellIs" dxfId="9" priority="26" operator="lessThan">
      <formula>1</formula>
    </cfRule>
    <cfRule type="cellIs" dxfId="8" priority="25" operator="greaterThan">
      <formula>1</formula>
    </cfRule>
    <cfRule type="cellIs" dxfId="7" priority="24" operator="equal">
      <formula>1</formula>
    </cfRule>
  </conditionalFormatting>
  <conditionalFormatting sqref="T51">
    <cfRule type="cellIs" dxfId="6" priority="19" operator="equal">
      <formula>1</formula>
    </cfRule>
    <cfRule type="cellIs" dxfId="5" priority="21" operator="lessThan">
      <formula>1</formula>
    </cfRule>
    <cfRule type="cellIs" dxfId="4" priority="20" operator="greaterThan">
      <formula>1</formula>
    </cfRule>
  </conditionalFormatting>
  <conditionalFormatting sqref="T75">
    <cfRule type="cellIs" dxfId="3" priority="72" operator="equal">
      <formula>1</formula>
    </cfRule>
    <cfRule type="cellIs" dxfId="2" priority="73" operator="greaterThan">
      <formula>1</formula>
    </cfRule>
    <cfRule type="cellIs" dxfId="1" priority="74" operator="lessThan">
      <formula>1</formula>
    </cfRule>
  </conditionalFormatting>
  <printOptions horizontalCentered="1"/>
  <pageMargins left="0.47244094488188981" right="0.47244094488188981" top="0.98425196850393704" bottom="0.98425196850393704" header="0.31496062992125984" footer="0.31496062992125984"/>
  <pageSetup paperSize="9" scale="45" fitToHeight="0" orientation="landscape" r:id="rId1"/>
  <headerFooter>
    <oddFoote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38"/>
  <sheetViews>
    <sheetView showGridLines="0" topLeftCell="A70" zoomScaleNormal="100" zoomScaleSheetLayoutView="85" workbookViewId="0">
      <selection activeCell="A12" sqref="A12:B12"/>
    </sheetView>
  </sheetViews>
  <sheetFormatPr defaultColWidth="9.140625" defaultRowHeight="15.75"/>
  <cols>
    <col min="1" max="1" width="13.85546875" style="333" customWidth="1"/>
    <col min="2" max="2" width="15.28515625" style="333" customWidth="1"/>
    <col min="3" max="3" width="15.28515625" style="334" customWidth="1"/>
    <col min="4" max="4" width="97.42578125" style="335" customWidth="1"/>
    <col min="5" max="5" width="10.7109375" style="309" customWidth="1"/>
    <col min="6" max="6" width="13.5703125" style="336" customWidth="1"/>
    <col min="7" max="7" width="8.28515625" style="337" bestFit="1" customWidth="1"/>
    <col min="8" max="8" width="12.85546875" style="337" bestFit="1" customWidth="1"/>
    <col min="9" max="12" width="12" style="337" customWidth="1"/>
    <col min="13" max="13" width="13.5703125" style="337" customWidth="1"/>
    <col min="14" max="14" width="69.28515625" style="338" customWidth="1"/>
    <col min="15" max="15" width="48" style="337" customWidth="1"/>
    <col min="16" max="16384" width="9.140625" style="310"/>
  </cols>
  <sheetData>
    <row r="1" spans="1:16" s="299" customFormat="1" ht="4.5" customHeight="1">
      <c r="A1" s="292"/>
      <c r="B1" s="293"/>
      <c r="C1" s="294"/>
      <c r="D1" s="293"/>
      <c r="E1" s="293"/>
      <c r="F1" s="293"/>
      <c r="G1" s="293"/>
      <c r="H1" s="295"/>
      <c r="I1" s="296"/>
      <c r="J1" s="295"/>
      <c r="K1" s="295"/>
      <c r="L1" s="295"/>
      <c r="M1" s="293"/>
      <c r="N1" s="297"/>
      <c r="O1" s="298"/>
    </row>
    <row r="2" spans="1:16" s="299" customFormat="1" ht="30.75" customHeight="1">
      <c r="A2" s="810" t="s">
        <v>0</v>
      </c>
      <c r="B2" s="811"/>
      <c r="C2" s="734" t="s">
        <v>1</v>
      </c>
      <c r="D2" s="735"/>
      <c r="E2" s="735"/>
      <c r="F2" s="735"/>
      <c r="G2" s="735"/>
      <c r="H2" s="735"/>
      <c r="I2" s="45"/>
      <c r="J2" s="385"/>
      <c r="K2" s="385"/>
      <c r="L2" s="385"/>
      <c r="M2" s="385"/>
      <c r="N2" s="374"/>
      <c r="O2" s="149"/>
    </row>
    <row r="3" spans="1:16" s="299" customFormat="1" ht="30.75" customHeight="1">
      <c r="A3" s="810" t="s">
        <v>5</v>
      </c>
      <c r="B3" s="811"/>
      <c r="C3" s="734" t="s">
        <v>6</v>
      </c>
      <c r="D3" s="735"/>
      <c r="E3" s="735"/>
      <c r="F3" s="735"/>
      <c r="G3" s="735"/>
      <c r="H3" s="735"/>
      <c r="I3" s="386"/>
      <c r="J3" s="386"/>
      <c r="K3" s="384"/>
      <c r="L3" s="384"/>
      <c r="M3" s="384"/>
      <c r="N3" s="387"/>
      <c r="O3" s="24"/>
    </row>
    <row r="4" spans="1:16" s="299" customFormat="1" ht="30.75" customHeight="1">
      <c r="A4" s="810" t="s">
        <v>9</v>
      </c>
      <c r="B4" s="811"/>
      <c r="C4" s="734" t="s">
        <v>10</v>
      </c>
      <c r="D4" s="735"/>
      <c r="E4" s="735"/>
      <c r="F4" s="735"/>
      <c r="G4" s="735"/>
      <c r="H4" s="735"/>
      <c r="I4" s="388"/>
      <c r="J4" s="384"/>
      <c r="K4" s="384"/>
      <c r="L4" s="384"/>
      <c r="M4" s="384"/>
      <c r="N4" s="387"/>
      <c r="O4" s="24"/>
    </row>
    <row r="5" spans="1:16" s="299" customFormat="1" ht="30.75" customHeight="1">
      <c r="A5" s="810" t="s">
        <v>14</v>
      </c>
      <c r="B5" s="811"/>
      <c r="C5" s="745" t="s">
        <v>15</v>
      </c>
      <c r="D5" s="746"/>
      <c r="E5" s="746"/>
      <c r="F5" s="746"/>
      <c r="G5" s="746"/>
      <c r="H5" s="746"/>
      <c r="I5" s="388"/>
      <c r="J5" s="384"/>
      <c r="K5" s="384"/>
      <c r="L5" s="384"/>
      <c r="M5" s="384"/>
      <c r="N5" s="387"/>
      <c r="O5" s="27"/>
    </row>
    <row r="6" spans="1:16" s="299" customFormat="1" ht="4.5" customHeight="1">
      <c r="A6" s="49"/>
      <c r="B6" s="50"/>
      <c r="C6" s="389"/>
      <c r="D6" s="50"/>
      <c r="E6" s="50"/>
      <c r="F6" s="50"/>
      <c r="G6" s="50"/>
      <c r="H6" s="50"/>
      <c r="I6" s="390"/>
      <c r="J6" s="50"/>
      <c r="K6" s="50"/>
      <c r="L6" s="50"/>
      <c r="M6" s="50"/>
      <c r="N6" s="391"/>
      <c r="O6" s="51"/>
    </row>
    <row r="7" spans="1:16" s="299" customFormat="1" ht="34.5" customHeight="1">
      <c r="A7" s="692" t="s">
        <v>1279</v>
      </c>
      <c r="B7" s="693"/>
      <c r="C7" s="693"/>
      <c r="D7" s="693"/>
      <c r="E7" s="693"/>
      <c r="F7" s="693"/>
      <c r="G7" s="693"/>
      <c r="H7" s="693"/>
      <c r="I7" s="693"/>
      <c r="J7" s="693"/>
      <c r="K7" s="693"/>
      <c r="L7" s="693"/>
      <c r="M7" s="693"/>
      <c r="N7" s="693"/>
      <c r="O7" s="694"/>
    </row>
    <row r="8" spans="1:16" s="299" customFormat="1" ht="4.5" customHeight="1">
      <c r="A8" s="49"/>
      <c r="B8" s="50"/>
      <c r="C8" s="389"/>
      <c r="D8" s="50"/>
      <c r="E8" s="50"/>
      <c r="F8" s="50"/>
      <c r="G8" s="50"/>
      <c r="H8" s="50"/>
      <c r="I8" s="390"/>
      <c r="J8" s="50"/>
      <c r="K8" s="50"/>
      <c r="L8" s="50"/>
      <c r="M8" s="50"/>
      <c r="N8" s="391"/>
      <c r="O8" s="51"/>
    </row>
    <row r="9" spans="1:16" s="299" customFormat="1" ht="20.100000000000001" customHeight="1">
      <c r="A9" s="812" t="s">
        <v>17</v>
      </c>
      <c r="B9" s="813"/>
      <c r="C9" s="813"/>
      <c r="D9" s="813"/>
      <c r="E9" s="813"/>
      <c r="F9" s="813"/>
      <c r="G9" s="813"/>
      <c r="H9" s="813"/>
      <c r="I9" s="813"/>
      <c r="J9" s="813"/>
      <c r="K9" s="813"/>
      <c r="L9" s="813"/>
      <c r="M9" s="813"/>
      <c r="N9" s="813"/>
      <c r="O9" s="814"/>
    </row>
    <row r="10" spans="1:16" s="299" customFormat="1" ht="20.100000000000001" customHeight="1">
      <c r="A10" s="709" t="s">
        <v>18</v>
      </c>
      <c r="B10" s="709"/>
      <c r="C10" s="709" t="s">
        <v>19</v>
      </c>
      <c r="D10" s="709"/>
      <c r="E10" s="709"/>
      <c r="F10" s="709"/>
      <c r="G10" s="709" t="s">
        <v>20</v>
      </c>
      <c r="H10" s="709"/>
      <c r="I10" s="709"/>
      <c r="J10" s="709" t="s">
        <v>21</v>
      </c>
      <c r="K10" s="709"/>
      <c r="L10" s="709"/>
      <c r="M10" s="709"/>
      <c r="N10" s="709"/>
      <c r="O10" s="709"/>
    </row>
    <row r="11" spans="1:16" s="299" customFormat="1" ht="20.100000000000001" customHeight="1">
      <c r="A11" s="808" t="s">
        <v>125</v>
      </c>
      <c r="B11" s="808"/>
      <c r="C11" s="808" t="s">
        <v>23</v>
      </c>
      <c r="D11" s="808"/>
      <c r="E11" s="808"/>
      <c r="F11" s="808"/>
      <c r="G11" s="809">
        <v>45427</v>
      </c>
      <c r="H11" s="809"/>
      <c r="I11" s="809"/>
      <c r="J11" s="808" t="s">
        <v>24</v>
      </c>
      <c r="K11" s="808"/>
      <c r="L11" s="808"/>
      <c r="M11" s="808"/>
      <c r="N11" s="808"/>
      <c r="O11" s="808"/>
    </row>
    <row r="12" spans="1:16" s="299" customFormat="1" ht="20.100000000000001" customHeight="1">
      <c r="A12" s="808" t="str">
        <f>'Planilha Resumo'!A12</f>
        <v>R8</v>
      </c>
      <c r="B12" s="808"/>
      <c r="C12" s="808" t="str">
        <f>'Planilha Resumo'!B12</f>
        <v>Atendendo à Comentários</v>
      </c>
      <c r="D12" s="808"/>
      <c r="E12" s="808"/>
      <c r="F12" s="808"/>
      <c r="G12" s="809">
        <f>'Planilha Resumo'!C12</f>
        <v>45496</v>
      </c>
      <c r="H12" s="809"/>
      <c r="I12" s="809"/>
      <c r="J12" s="808" t="str">
        <f>'Planilha Resumo'!E12</f>
        <v>Grazielle Cruz/ Marcelo F. Pereira</v>
      </c>
      <c r="K12" s="808"/>
      <c r="L12" s="808"/>
      <c r="M12" s="808"/>
      <c r="N12" s="808"/>
      <c r="O12" s="808"/>
    </row>
    <row r="13" spans="1:16" s="299" customFormat="1" ht="20.100000000000001" customHeight="1">
      <c r="A13" s="808" t="str">
        <f>'Planilha Resumo'!A13</f>
        <v>R9</v>
      </c>
      <c r="B13" s="808"/>
      <c r="C13" s="808" t="str">
        <f>'Planilha Resumo'!B13</f>
        <v>Atendendo à Comentários</v>
      </c>
      <c r="D13" s="808"/>
      <c r="E13" s="808"/>
      <c r="F13" s="808"/>
      <c r="G13" s="809">
        <f>'Planilha Resumo'!C13</f>
        <v>45504</v>
      </c>
      <c r="H13" s="809"/>
      <c r="I13" s="809"/>
      <c r="J13" s="808" t="str">
        <f>'Planilha Resumo'!E13</f>
        <v>Grazielle Cruz/ Marcelo F. Pereira</v>
      </c>
      <c r="K13" s="808"/>
      <c r="L13" s="808"/>
      <c r="M13" s="808"/>
      <c r="N13" s="808"/>
      <c r="O13" s="808"/>
    </row>
    <row r="14" spans="1:16" s="299" customFormat="1" ht="4.5" customHeight="1">
      <c r="A14" s="49"/>
      <c r="B14" s="50"/>
      <c r="C14" s="389"/>
      <c r="D14" s="50"/>
      <c r="E14" s="50"/>
      <c r="F14" s="50"/>
      <c r="G14" s="50"/>
      <c r="H14" s="50"/>
      <c r="I14" s="390"/>
      <c r="J14" s="50"/>
      <c r="K14" s="50"/>
      <c r="L14" s="50"/>
      <c r="M14" s="50"/>
      <c r="N14" s="391"/>
      <c r="O14" s="51"/>
    </row>
    <row r="15" spans="1:16" s="300" customFormat="1">
      <c r="A15" s="392" t="s">
        <v>131</v>
      </c>
      <c r="B15" s="392" t="s">
        <v>1280</v>
      </c>
      <c r="C15" s="393" t="s">
        <v>131</v>
      </c>
      <c r="D15" s="394" t="s">
        <v>1281</v>
      </c>
      <c r="E15" s="395" t="s">
        <v>127</v>
      </c>
      <c r="F15" s="396" t="s">
        <v>128</v>
      </c>
      <c r="G15" s="397"/>
      <c r="H15" s="398" t="s">
        <v>1282</v>
      </c>
      <c r="I15" s="398" t="s">
        <v>1283</v>
      </c>
      <c r="J15" s="398" t="s">
        <v>1284</v>
      </c>
      <c r="K15" s="398" t="s">
        <v>1285</v>
      </c>
      <c r="L15" s="398" t="s">
        <v>1286</v>
      </c>
      <c r="M15" s="398" t="s">
        <v>1287</v>
      </c>
      <c r="N15" s="806" t="s">
        <v>1288</v>
      </c>
      <c r="O15" s="807"/>
    </row>
    <row r="16" spans="1:16" s="300" customFormat="1" ht="29.25" customHeight="1">
      <c r="A16" s="803" t="s">
        <v>31</v>
      </c>
      <c r="B16" s="804"/>
      <c r="C16" s="804"/>
      <c r="D16" s="804"/>
      <c r="E16" s="804"/>
      <c r="F16" s="804"/>
      <c r="G16" s="804"/>
      <c r="H16" s="804"/>
      <c r="I16" s="804"/>
      <c r="J16" s="804"/>
      <c r="K16" s="804"/>
      <c r="L16" s="804"/>
      <c r="M16" s="804"/>
      <c r="N16" s="804"/>
      <c r="O16" s="805"/>
      <c r="P16" s="310"/>
    </row>
    <row r="17" spans="1:15">
      <c r="A17" s="301">
        <v>1</v>
      </c>
      <c r="B17" s="302"/>
      <c r="C17" s="303"/>
      <c r="D17" s="304" t="s">
        <v>33</v>
      </c>
      <c r="E17" s="305"/>
      <c r="F17" s="306"/>
      <c r="G17" s="307"/>
      <c r="H17" s="307"/>
      <c r="I17" s="307"/>
      <c r="J17" s="307"/>
      <c r="K17" s="307"/>
      <c r="L17" s="307"/>
      <c r="M17" s="308"/>
      <c r="N17" s="402"/>
      <c r="O17" s="308"/>
    </row>
    <row r="18" spans="1:15">
      <c r="A18" s="311" t="s">
        <v>32</v>
      </c>
      <c r="B18" s="312"/>
      <c r="C18" s="313"/>
      <c r="D18" s="314" t="s">
        <v>36</v>
      </c>
      <c r="E18" s="315"/>
      <c r="F18" s="316"/>
      <c r="G18" s="317"/>
      <c r="H18" s="317"/>
      <c r="I18" s="317"/>
      <c r="J18" s="317"/>
      <c r="K18" s="317"/>
      <c r="L18" s="317"/>
      <c r="M18" s="318"/>
      <c r="N18" s="403"/>
      <c r="O18" s="318"/>
    </row>
    <row r="19" spans="1:15">
      <c r="A19" s="339" t="s">
        <v>35</v>
      </c>
      <c r="B19" s="339" t="s">
        <v>3</v>
      </c>
      <c r="C19" s="340" t="s">
        <v>1289</v>
      </c>
      <c r="D19" s="341" t="s">
        <v>136</v>
      </c>
      <c r="E19" s="342" t="s">
        <v>144</v>
      </c>
      <c r="F19" s="343"/>
      <c r="G19" s="344"/>
      <c r="H19" s="345"/>
      <c r="I19" s="345"/>
      <c r="J19" s="345"/>
      <c r="K19" s="345"/>
      <c r="L19" s="345"/>
      <c r="M19" s="346">
        <f>SUM(M20:M21)</f>
        <v>12</v>
      </c>
      <c r="N19" s="404"/>
      <c r="O19" s="409"/>
    </row>
    <row r="20" spans="1:15">
      <c r="A20" s="347"/>
      <c r="B20" s="347"/>
      <c r="C20" s="348"/>
      <c r="D20" s="349" t="s">
        <v>1290</v>
      </c>
      <c r="E20" s="350"/>
      <c r="F20" s="351">
        <f>Cronograma!T18</f>
        <v>12</v>
      </c>
      <c r="G20" s="352"/>
      <c r="H20" s="353"/>
      <c r="I20" s="353"/>
      <c r="J20" s="353"/>
      <c r="K20" s="353"/>
      <c r="L20" s="353"/>
      <c r="M20" s="353">
        <f>F20</f>
        <v>12</v>
      </c>
      <c r="N20" s="405"/>
      <c r="O20" s="352"/>
    </row>
    <row r="21" spans="1:15">
      <c r="A21" s="354"/>
      <c r="B21" s="354"/>
      <c r="C21" s="355"/>
      <c r="D21" s="356"/>
      <c r="E21" s="357"/>
      <c r="F21" s="358"/>
      <c r="G21" s="359"/>
      <c r="H21" s="360"/>
      <c r="I21" s="360"/>
      <c r="J21" s="360"/>
      <c r="K21" s="360"/>
      <c r="L21" s="360"/>
      <c r="M21" s="360"/>
      <c r="N21" s="406"/>
      <c r="O21" s="359"/>
    </row>
    <row r="22" spans="1:15">
      <c r="A22" s="339" t="s">
        <v>37</v>
      </c>
      <c r="B22" s="339" t="s">
        <v>3</v>
      </c>
      <c r="C22" s="340" t="s">
        <v>1289</v>
      </c>
      <c r="D22" s="341" t="s">
        <v>1291</v>
      </c>
      <c r="E22" s="342" t="s">
        <v>144</v>
      </c>
      <c r="F22" s="343"/>
      <c r="G22" s="344"/>
      <c r="H22" s="345"/>
      <c r="I22" s="345"/>
      <c r="J22" s="345"/>
      <c r="K22" s="345"/>
      <c r="L22" s="345"/>
      <c r="M22" s="346">
        <f>SUM(M23:M24)</f>
        <v>12</v>
      </c>
      <c r="N22" s="404"/>
      <c r="O22" s="409"/>
    </row>
    <row r="23" spans="1:15">
      <c r="A23" s="347"/>
      <c r="B23" s="347"/>
      <c r="C23" s="348"/>
      <c r="D23" s="349" t="s">
        <v>1290</v>
      </c>
      <c r="E23" s="350"/>
      <c r="F23" s="351">
        <f>Cronograma!T18</f>
        <v>12</v>
      </c>
      <c r="G23" s="352"/>
      <c r="H23" s="353"/>
      <c r="I23" s="353"/>
      <c r="J23" s="353"/>
      <c r="K23" s="353"/>
      <c r="L23" s="353"/>
      <c r="M23" s="353">
        <f>F23</f>
        <v>12</v>
      </c>
      <c r="N23" s="405"/>
      <c r="O23" s="352"/>
    </row>
    <row r="24" spans="1:15">
      <c r="A24" s="354"/>
      <c r="B24" s="354"/>
      <c r="C24" s="355"/>
      <c r="D24" s="356"/>
      <c r="E24" s="357"/>
      <c r="F24" s="358"/>
      <c r="G24" s="359"/>
      <c r="H24" s="360"/>
      <c r="I24" s="360"/>
      <c r="J24" s="360"/>
      <c r="K24" s="360"/>
      <c r="L24" s="360"/>
      <c r="M24" s="360"/>
      <c r="N24" s="406"/>
      <c r="O24" s="359"/>
    </row>
    <row r="25" spans="1:15">
      <c r="A25" s="339" t="s">
        <v>1292</v>
      </c>
      <c r="B25" s="339" t="s">
        <v>2</v>
      </c>
      <c r="C25" s="340">
        <v>93572</v>
      </c>
      <c r="D25" s="341" t="s">
        <v>143</v>
      </c>
      <c r="E25" s="342" t="s">
        <v>144</v>
      </c>
      <c r="F25" s="343"/>
      <c r="G25" s="344"/>
      <c r="H25" s="345"/>
      <c r="I25" s="345"/>
      <c r="J25" s="345"/>
      <c r="K25" s="345"/>
      <c r="L25" s="345"/>
      <c r="M25" s="346">
        <f>SUM(M26:M27)</f>
        <v>24</v>
      </c>
      <c r="N25" s="404"/>
      <c r="O25" s="409"/>
    </row>
    <row r="26" spans="1:15">
      <c r="A26" s="347"/>
      <c r="B26" s="347"/>
      <c r="C26" s="348"/>
      <c r="D26" s="349" t="s">
        <v>1293</v>
      </c>
      <c r="E26" s="350"/>
      <c r="F26" s="351">
        <f>Cronograma!T18</f>
        <v>12</v>
      </c>
      <c r="G26" s="352">
        <v>2</v>
      </c>
      <c r="H26" s="353"/>
      <c r="I26" s="353"/>
      <c r="J26" s="353"/>
      <c r="K26" s="353"/>
      <c r="L26" s="353"/>
      <c r="M26" s="353">
        <f>F26*G26</f>
        <v>24</v>
      </c>
      <c r="N26" s="405"/>
      <c r="O26" s="352"/>
    </row>
    <row r="27" spans="1:15">
      <c r="A27" s="354"/>
      <c r="B27" s="354"/>
      <c r="C27" s="355"/>
      <c r="D27" s="356"/>
      <c r="E27" s="357"/>
      <c r="F27" s="358"/>
      <c r="G27" s="359"/>
      <c r="H27" s="360"/>
      <c r="I27" s="360"/>
      <c r="J27" s="360"/>
      <c r="K27" s="360"/>
      <c r="L27" s="360"/>
      <c r="M27" s="360"/>
      <c r="N27" s="406"/>
      <c r="O27" s="359"/>
    </row>
    <row r="28" spans="1:15">
      <c r="A28" s="339" t="s">
        <v>1294</v>
      </c>
      <c r="B28" s="339" t="s">
        <v>2</v>
      </c>
      <c r="C28" s="340">
        <v>100321</v>
      </c>
      <c r="D28" s="341" t="s">
        <v>146</v>
      </c>
      <c r="E28" s="342" t="s">
        <v>144</v>
      </c>
      <c r="F28" s="343"/>
      <c r="G28" s="344"/>
      <c r="H28" s="345"/>
      <c r="I28" s="345"/>
      <c r="J28" s="345"/>
      <c r="K28" s="345"/>
      <c r="L28" s="345"/>
      <c r="M28" s="346">
        <f>SUM(M29:M30)</f>
        <v>12</v>
      </c>
      <c r="N28" s="404"/>
      <c r="O28" s="409"/>
    </row>
    <row r="29" spans="1:15">
      <c r="A29" s="347"/>
      <c r="B29" s="347"/>
      <c r="C29" s="348"/>
      <c r="D29" s="349" t="s">
        <v>1290</v>
      </c>
      <c r="E29" s="350"/>
      <c r="F29" s="351">
        <f>Cronograma!T18</f>
        <v>12</v>
      </c>
      <c r="G29" s="352"/>
      <c r="H29" s="353"/>
      <c r="I29" s="353"/>
      <c r="J29" s="353"/>
      <c r="K29" s="353"/>
      <c r="L29" s="353"/>
      <c r="M29" s="353">
        <f>F29</f>
        <v>12</v>
      </c>
      <c r="N29" s="405"/>
      <c r="O29" s="352"/>
    </row>
    <row r="30" spans="1:15">
      <c r="A30" s="354"/>
      <c r="B30" s="354"/>
      <c r="C30" s="355"/>
      <c r="D30" s="356"/>
      <c r="E30" s="357"/>
      <c r="F30" s="358"/>
      <c r="G30" s="359"/>
      <c r="H30" s="360"/>
      <c r="I30" s="360"/>
      <c r="J30" s="360"/>
      <c r="K30" s="360"/>
      <c r="L30" s="360"/>
      <c r="M30" s="360"/>
      <c r="N30" s="406"/>
      <c r="O30" s="359"/>
    </row>
    <row r="31" spans="1:15">
      <c r="A31" s="311" t="s">
        <v>39</v>
      </c>
      <c r="B31" s="312"/>
      <c r="C31" s="313"/>
      <c r="D31" s="314" t="s">
        <v>38</v>
      </c>
      <c r="E31" s="315"/>
      <c r="F31" s="316"/>
      <c r="G31" s="317"/>
      <c r="H31" s="317"/>
      <c r="I31" s="317"/>
      <c r="J31" s="317"/>
      <c r="K31" s="317"/>
      <c r="L31" s="317"/>
      <c r="M31" s="318"/>
      <c r="N31" s="403"/>
      <c r="O31" s="318"/>
    </row>
    <row r="32" spans="1:15" ht="31.5">
      <c r="A32" s="339" t="s">
        <v>41</v>
      </c>
      <c r="B32" s="339" t="s">
        <v>2</v>
      </c>
      <c r="C32" s="340">
        <v>10775</v>
      </c>
      <c r="D32" s="341" t="s">
        <v>1295</v>
      </c>
      <c r="E32" s="342" t="s">
        <v>144</v>
      </c>
      <c r="F32" s="343"/>
      <c r="G32" s="344"/>
      <c r="H32" s="345"/>
      <c r="I32" s="345"/>
      <c r="J32" s="345"/>
      <c r="K32" s="345"/>
      <c r="L32" s="345"/>
      <c r="M32" s="346">
        <f>SUM(M33:M34)</f>
        <v>12</v>
      </c>
      <c r="N32" s="404"/>
      <c r="O32" s="409"/>
    </row>
    <row r="33" spans="1:15">
      <c r="A33" s="347"/>
      <c r="B33" s="347"/>
      <c r="C33" s="348"/>
      <c r="D33" s="421" t="s">
        <v>1296</v>
      </c>
      <c r="E33" s="350"/>
      <c r="F33" s="351">
        <f>Cronograma!T18</f>
        <v>12</v>
      </c>
      <c r="G33" s="352"/>
      <c r="H33" s="353"/>
      <c r="I33" s="353"/>
      <c r="J33" s="353"/>
      <c r="K33" s="353"/>
      <c r="L33" s="353"/>
      <c r="M33" s="353">
        <f>F33</f>
        <v>12</v>
      </c>
      <c r="N33" s="405"/>
      <c r="O33" s="352"/>
    </row>
    <row r="34" spans="1:15">
      <c r="A34" s="354"/>
      <c r="B34" s="354"/>
      <c r="C34" s="355"/>
      <c r="D34" s="356"/>
      <c r="E34" s="357"/>
      <c r="F34" s="358"/>
      <c r="G34" s="359"/>
      <c r="H34" s="360"/>
      <c r="I34" s="360"/>
      <c r="J34" s="360"/>
      <c r="K34" s="360"/>
      <c r="L34" s="360"/>
      <c r="M34" s="360"/>
      <c r="N34" s="406"/>
      <c r="O34" s="359"/>
    </row>
    <row r="35" spans="1:15" ht="31.5">
      <c r="A35" s="339" t="s">
        <v>1297</v>
      </c>
      <c r="B35" s="339" t="s">
        <v>2</v>
      </c>
      <c r="C35" s="340">
        <v>10777</v>
      </c>
      <c r="D35" s="341" t="s">
        <v>1298</v>
      </c>
      <c r="E35" s="342" t="s">
        <v>144</v>
      </c>
      <c r="F35" s="343"/>
      <c r="G35" s="344"/>
      <c r="H35" s="345"/>
      <c r="I35" s="345"/>
      <c r="J35" s="345"/>
      <c r="K35" s="345"/>
      <c r="L35" s="345"/>
      <c r="M35" s="346">
        <f>SUM(M36:M37)</f>
        <v>12</v>
      </c>
      <c r="N35" s="404"/>
      <c r="O35" s="409"/>
    </row>
    <row r="36" spans="1:15">
      <c r="A36" s="347"/>
      <c r="B36" s="347"/>
      <c r="C36" s="348"/>
      <c r="D36" s="421" t="s">
        <v>1299</v>
      </c>
      <c r="E36" s="350"/>
      <c r="F36" s="351">
        <f>Cronograma!T18</f>
        <v>12</v>
      </c>
      <c r="G36" s="352"/>
      <c r="H36" s="353"/>
      <c r="I36" s="353"/>
      <c r="J36" s="353"/>
      <c r="K36" s="353"/>
      <c r="L36" s="353"/>
      <c r="M36" s="353">
        <f>F36</f>
        <v>12</v>
      </c>
      <c r="N36" s="405"/>
      <c r="O36" s="352"/>
    </row>
    <row r="37" spans="1:15">
      <c r="A37" s="354"/>
      <c r="B37" s="354"/>
      <c r="C37" s="355"/>
      <c r="D37" s="356"/>
      <c r="E37" s="357"/>
      <c r="F37" s="358"/>
      <c r="G37" s="359"/>
      <c r="H37" s="360"/>
      <c r="I37" s="360"/>
      <c r="J37" s="360"/>
      <c r="K37" s="360"/>
      <c r="L37" s="360"/>
      <c r="M37" s="360"/>
      <c r="N37" s="406"/>
      <c r="O37" s="359"/>
    </row>
    <row r="38" spans="1:15" ht="31.5">
      <c r="A38" s="339" t="s">
        <v>1300</v>
      </c>
      <c r="B38" s="339" t="s">
        <v>2</v>
      </c>
      <c r="C38" s="340">
        <v>10776</v>
      </c>
      <c r="D38" s="341" t="s">
        <v>1301</v>
      </c>
      <c r="E38" s="342" t="s">
        <v>144</v>
      </c>
      <c r="F38" s="343"/>
      <c r="G38" s="344"/>
      <c r="H38" s="345"/>
      <c r="I38" s="345"/>
      <c r="J38" s="345"/>
      <c r="K38" s="345"/>
      <c r="L38" s="345"/>
      <c r="M38" s="346">
        <f>SUM(M39:M40)</f>
        <v>12</v>
      </c>
      <c r="N38" s="404"/>
      <c r="O38" s="409"/>
    </row>
    <row r="39" spans="1:15">
      <c r="A39" s="347"/>
      <c r="B39" s="347"/>
      <c r="C39" s="348"/>
      <c r="D39" s="421" t="s">
        <v>1302</v>
      </c>
      <c r="E39" s="350"/>
      <c r="F39" s="351">
        <f>Cronograma!T18</f>
        <v>12</v>
      </c>
      <c r="G39" s="352"/>
      <c r="H39" s="353"/>
      <c r="I39" s="353"/>
      <c r="J39" s="353"/>
      <c r="K39" s="353"/>
      <c r="L39" s="353"/>
      <c r="M39" s="353">
        <f>F39</f>
        <v>12</v>
      </c>
      <c r="N39" s="405"/>
      <c r="O39" s="352"/>
    </row>
    <row r="40" spans="1:15">
      <c r="A40" s="354"/>
      <c r="B40" s="354"/>
      <c r="C40" s="355"/>
      <c r="D40" s="356"/>
      <c r="E40" s="357"/>
      <c r="F40" s="358"/>
      <c r="G40" s="359"/>
      <c r="H40" s="360"/>
      <c r="I40" s="360"/>
      <c r="J40" s="360"/>
      <c r="K40" s="360"/>
      <c r="L40" s="360"/>
      <c r="M40" s="360"/>
      <c r="N40" s="406"/>
      <c r="O40" s="359"/>
    </row>
    <row r="41" spans="1:15">
      <c r="A41" s="339" t="s">
        <v>1303</v>
      </c>
      <c r="B41" s="339" t="s">
        <v>3</v>
      </c>
      <c r="C41" s="340" t="s">
        <v>1304</v>
      </c>
      <c r="D41" s="341" t="s">
        <v>1305</v>
      </c>
      <c r="E41" s="342" t="s">
        <v>167</v>
      </c>
      <c r="F41" s="343"/>
      <c r="G41" s="344"/>
      <c r="H41" s="345"/>
      <c r="I41" s="345"/>
      <c r="J41" s="345"/>
      <c r="K41" s="345"/>
      <c r="L41" s="345"/>
      <c r="M41" s="346">
        <f>SUM(M42:M43)</f>
        <v>3</v>
      </c>
      <c r="N41" s="404"/>
      <c r="O41" s="409"/>
    </row>
    <row r="42" spans="1:15">
      <c r="A42" s="347"/>
      <c r="B42" s="347"/>
      <c r="C42" s="348"/>
      <c r="D42" s="421" t="s">
        <v>1306</v>
      </c>
      <c r="E42" s="350"/>
      <c r="F42" s="351">
        <v>3</v>
      </c>
      <c r="G42" s="352"/>
      <c r="H42" s="353"/>
      <c r="I42" s="353"/>
      <c r="J42" s="353"/>
      <c r="K42" s="353"/>
      <c r="L42" s="353"/>
      <c r="M42" s="353">
        <f>F42</f>
        <v>3</v>
      </c>
      <c r="N42" s="405"/>
      <c r="O42" s="352"/>
    </row>
    <row r="43" spans="1:15">
      <c r="A43" s="354"/>
      <c r="B43" s="354"/>
      <c r="C43" s="355"/>
      <c r="D43" s="356"/>
      <c r="E43" s="357"/>
      <c r="F43" s="358"/>
      <c r="G43" s="359"/>
      <c r="H43" s="360"/>
      <c r="I43" s="360"/>
      <c r="J43" s="360"/>
      <c r="K43" s="360"/>
      <c r="L43" s="360"/>
      <c r="M43" s="360"/>
      <c r="N43" s="406"/>
      <c r="O43" s="359"/>
    </row>
    <row r="44" spans="1:15" ht="31.5">
      <c r="A44" s="339" t="s">
        <v>1307</v>
      </c>
      <c r="B44" s="339" t="s">
        <v>3</v>
      </c>
      <c r="C44" s="340" t="s">
        <v>1308</v>
      </c>
      <c r="D44" s="341" t="s">
        <v>1309</v>
      </c>
      <c r="E44" s="342" t="s">
        <v>167</v>
      </c>
      <c r="F44" s="343"/>
      <c r="G44" s="344"/>
      <c r="H44" s="345"/>
      <c r="I44" s="345"/>
      <c r="J44" s="345"/>
      <c r="K44" s="345"/>
      <c r="L44" s="345"/>
      <c r="M44" s="346">
        <f>SUM(M45:M46)</f>
        <v>2</v>
      </c>
      <c r="N44" s="404"/>
      <c r="O44" s="409"/>
    </row>
    <row r="45" spans="1:15">
      <c r="A45" s="347"/>
      <c r="B45" s="347"/>
      <c r="C45" s="348"/>
      <c r="D45" s="421" t="s">
        <v>1306</v>
      </c>
      <c r="E45" s="350"/>
      <c r="F45" s="351">
        <v>2</v>
      </c>
      <c r="G45" s="352"/>
      <c r="H45" s="353"/>
      <c r="I45" s="353"/>
      <c r="J45" s="353"/>
      <c r="K45" s="353"/>
      <c r="L45" s="353"/>
      <c r="M45" s="353">
        <f>F45</f>
        <v>2</v>
      </c>
      <c r="N45" s="405"/>
      <c r="O45" s="352"/>
    </row>
    <row r="46" spans="1:15">
      <c r="A46" s="354"/>
      <c r="B46" s="354"/>
      <c r="C46" s="355"/>
      <c r="D46" s="356"/>
      <c r="E46" s="357"/>
      <c r="F46" s="358"/>
      <c r="G46" s="359"/>
      <c r="H46" s="360"/>
      <c r="I46" s="360"/>
      <c r="J46" s="360"/>
      <c r="K46" s="360"/>
      <c r="L46" s="360"/>
      <c r="M46" s="360"/>
      <c r="N46" s="406"/>
      <c r="O46" s="359"/>
    </row>
    <row r="47" spans="1:15" ht="31.5">
      <c r="A47" s="339" t="s">
        <v>1310</v>
      </c>
      <c r="B47" s="339" t="s">
        <v>3</v>
      </c>
      <c r="C47" s="340" t="s">
        <v>1308</v>
      </c>
      <c r="D47" s="341" t="s">
        <v>1309</v>
      </c>
      <c r="E47" s="342" t="s">
        <v>167</v>
      </c>
      <c r="F47" s="343"/>
      <c r="G47" s="344"/>
      <c r="H47" s="345"/>
      <c r="I47" s="345"/>
      <c r="J47" s="345"/>
      <c r="K47" s="345"/>
      <c r="L47" s="345"/>
      <c r="M47" s="346">
        <f>SUM(M48:M51)</f>
        <v>3</v>
      </c>
      <c r="N47" s="404"/>
      <c r="O47" s="409"/>
    </row>
    <row r="48" spans="1:15">
      <c r="A48" s="347"/>
      <c r="B48" s="347"/>
      <c r="C48" s="348"/>
      <c r="D48" s="421" t="s">
        <v>1296</v>
      </c>
      <c r="E48" s="422"/>
      <c r="F48" s="423">
        <v>1</v>
      </c>
      <c r="G48" s="352"/>
      <c r="H48" s="353"/>
      <c r="I48" s="353"/>
      <c r="J48" s="353"/>
      <c r="K48" s="353"/>
      <c r="L48" s="353"/>
      <c r="M48" s="353">
        <f>F48</f>
        <v>1</v>
      </c>
      <c r="N48" s="405"/>
      <c r="O48" s="352"/>
    </row>
    <row r="49" spans="1:15">
      <c r="A49" s="347"/>
      <c r="B49" s="347"/>
      <c r="C49" s="348"/>
      <c r="D49" s="421" t="s">
        <v>1299</v>
      </c>
      <c r="E49" s="422"/>
      <c r="F49" s="423">
        <v>1</v>
      </c>
      <c r="G49" s="352"/>
      <c r="H49" s="353"/>
      <c r="I49" s="353"/>
      <c r="J49" s="353"/>
      <c r="K49" s="353"/>
      <c r="L49" s="353"/>
      <c r="M49" s="353">
        <f>F49</f>
        <v>1</v>
      </c>
      <c r="N49" s="405"/>
      <c r="O49" s="352"/>
    </row>
    <row r="50" spans="1:15">
      <c r="A50" s="347"/>
      <c r="B50" s="347"/>
      <c r="C50" s="348"/>
      <c r="D50" s="421" t="s">
        <v>1302</v>
      </c>
      <c r="E50" s="422"/>
      <c r="F50" s="423">
        <v>1</v>
      </c>
      <c r="G50" s="352"/>
      <c r="H50" s="353"/>
      <c r="I50" s="353"/>
      <c r="J50" s="353"/>
      <c r="K50" s="353"/>
      <c r="L50" s="353"/>
      <c r="M50" s="353">
        <f>F50</f>
        <v>1</v>
      </c>
      <c r="N50" s="405"/>
      <c r="O50" s="352"/>
    </row>
    <row r="51" spans="1:15">
      <c r="A51" s="354"/>
      <c r="B51" s="354"/>
      <c r="C51" s="355"/>
      <c r="D51" s="356"/>
      <c r="E51" s="357"/>
      <c r="F51" s="358"/>
      <c r="G51" s="359"/>
      <c r="H51" s="360"/>
      <c r="I51" s="360"/>
      <c r="J51" s="360"/>
      <c r="K51" s="360"/>
      <c r="L51" s="360"/>
      <c r="M51" s="360"/>
      <c r="N51" s="406"/>
      <c r="O51" s="359"/>
    </row>
    <row r="52" spans="1:15" ht="63">
      <c r="A52" s="339" t="s">
        <v>1311</v>
      </c>
      <c r="B52" s="339" t="s">
        <v>3</v>
      </c>
      <c r="C52" s="340" t="s">
        <v>148</v>
      </c>
      <c r="D52" s="341" t="s">
        <v>149</v>
      </c>
      <c r="E52" s="342" t="s">
        <v>150</v>
      </c>
      <c r="F52" s="343"/>
      <c r="G52" s="344"/>
      <c r="H52" s="345"/>
      <c r="I52" s="345"/>
      <c r="J52" s="345"/>
      <c r="K52" s="345"/>
      <c r="L52" s="345"/>
      <c r="M52" s="346">
        <f>SUM(M53:M54)</f>
        <v>6</v>
      </c>
      <c r="N52" s="404"/>
      <c r="O52" s="409"/>
    </row>
    <row r="53" spans="1:15">
      <c r="A53" s="347"/>
      <c r="B53" s="347"/>
      <c r="C53" s="348"/>
      <c r="D53" s="421" t="s">
        <v>1312</v>
      </c>
      <c r="E53" s="422"/>
      <c r="F53" s="423"/>
      <c r="G53" s="424"/>
      <c r="H53" s="425"/>
      <c r="I53" s="425"/>
      <c r="J53" s="425">
        <v>3</v>
      </c>
      <c r="K53" s="425">
        <v>2</v>
      </c>
      <c r="L53" s="353"/>
      <c r="M53" s="353">
        <f>J53*K53</f>
        <v>6</v>
      </c>
      <c r="N53" s="405"/>
      <c r="O53" s="352"/>
    </row>
    <row r="54" spans="1:15">
      <c r="A54" s="354"/>
      <c r="B54" s="354"/>
      <c r="C54" s="355"/>
      <c r="D54" s="356"/>
      <c r="E54" s="357"/>
      <c r="F54" s="358"/>
      <c r="G54" s="359"/>
      <c r="H54" s="360"/>
      <c r="I54" s="360"/>
      <c r="J54" s="360"/>
      <c r="K54" s="360"/>
      <c r="L54" s="360"/>
      <c r="M54" s="360"/>
      <c r="N54" s="406"/>
      <c r="O54" s="359"/>
    </row>
    <row r="55" spans="1:15" ht="47.25">
      <c r="A55" s="339" t="s">
        <v>1313</v>
      </c>
      <c r="B55" s="339" t="s">
        <v>3</v>
      </c>
      <c r="C55" s="340" t="s">
        <v>762</v>
      </c>
      <c r="D55" s="341" t="s">
        <v>763</v>
      </c>
      <c r="E55" s="342" t="s">
        <v>150</v>
      </c>
      <c r="F55" s="343"/>
      <c r="G55" s="344"/>
      <c r="H55" s="345"/>
      <c r="I55" s="345"/>
      <c r="J55" s="345"/>
      <c r="K55" s="345"/>
      <c r="L55" s="345"/>
      <c r="M55" s="346">
        <f>SUM(M56:M57)</f>
        <v>1155</v>
      </c>
      <c r="N55" s="404"/>
      <c r="O55" s="409"/>
    </row>
    <row r="56" spans="1:15">
      <c r="A56" s="347"/>
      <c r="B56" s="347"/>
      <c r="C56" s="348"/>
      <c r="D56" s="421" t="s">
        <v>1314</v>
      </c>
      <c r="E56" s="422"/>
      <c r="F56" s="423"/>
      <c r="G56" s="424"/>
      <c r="H56" s="425">
        <v>1155</v>
      </c>
      <c r="I56" s="425"/>
      <c r="J56" s="425"/>
      <c r="K56" s="425"/>
      <c r="L56" s="353"/>
      <c r="M56" s="353">
        <f>H56</f>
        <v>1155</v>
      </c>
      <c r="N56" s="405"/>
      <c r="O56" s="352"/>
    </row>
    <row r="57" spans="1:15">
      <c r="A57" s="354"/>
      <c r="B57" s="354"/>
      <c r="C57" s="355"/>
      <c r="D57" s="356"/>
      <c r="E57" s="357"/>
      <c r="F57" s="358"/>
      <c r="G57" s="359"/>
      <c r="H57" s="360"/>
      <c r="I57" s="360"/>
      <c r="J57" s="360"/>
      <c r="K57" s="360"/>
      <c r="L57" s="360"/>
      <c r="M57" s="360"/>
      <c r="N57" s="406"/>
      <c r="O57" s="359"/>
    </row>
    <row r="58" spans="1:15">
      <c r="A58" s="414"/>
      <c r="B58" s="415"/>
      <c r="C58" s="416"/>
      <c r="D58" s="417"/>
      <c r="E58" s="418"/>
      <c r="F58" s="419"/>
      <c r="G58" s="419"/>
      <c r="H58" s="419"/>
      <c r="I58" s="419"/>
      <c r="J58" s="419"/>
      <c r="K58" s="419"/>
      <c r="L58" s="419"/>
      <c r="M58" s="419"/>
      <c r="N58" s="420"/>
      <c r="O58" s="359"/>
    </row>
    <row r="59" spans="1:15">
      <c r="A59" s="301">
        <v>2</v>
      </c>
      <c r="B59" s="302"/>
      <c r="C59" s="303"/>
      <c r="D59" s="304" t="s">
        <v>40</v>
      </c>
      <c r="E59" s="305"/>
      <c r="F59" s="306"/>
      <c r="G59" s="307"/>
      <c r="H59" s="307"/>
      <c r="I59" s="307"/>
      <c r="J59" s="307"/>
      <c r="K59" s="307"/>
      <c r="L59" s="307"/>
      <c r="M59" s="308"/>
      <c r="N59" s="402"/>
      <c r="O59" s="308"/>
    </row>
    <row r="60" spans="1:15">
      <c r="A60" s="311" t="s">
        <v>52</v>
      </c>
      <c r="B60" s="312"/>
      <c r="C60" s="313"/>
      <c r="D60" s="314" t="s">
        <v>42</v>
      </c>
      <c r="E60" s="327"/>
      <c r="F60" s="328"/>
      <c r="G60" s="329"/>
      <c r="H60" s="329"/>
      <c r="I60" s="329"/>
      <c r="J60" s="329"/>
      <c r="K60" s="329"/>
      <c r="L60" s="329"/>
      <c r="M60" s="330"/>
      <c r="N60" s="407"/>
      <c r="O60" s="330"/>
    </row>
    <row r="61" spans="1:15">
      <c r="A61" s="339" t="s">
        <v>54</v>
      </c>
      <c r="B61" s="339" t="s">
        <v>3</v>
      </c>
      <c r="C61" s="340" t="s">
        <v>153</v>
      </c>
      <c r="D61" s="341" t="s">
        <v>154</v>
      </c>
      <c r="E61" s="342" t="s">
        <v>144</v>
      </c>
      <c r="F61" s="343"/>
      <c r="G61" s="344"/>
      <c r="H61" s="345"/>
      <c r="I61" s="345"/>
      <c r="J61" s="345"/>
      <c r="K61" s="345"/>
      <c r="L61" s="345"/>
      <c r="M61" s="346">
        <f>SUM(M62:M63)</f>
        <v>12</v>
      </c>
      <c r="N61" s="408"/>
      <c r="O61" s="409"/>
    </row>
    <row r="62" spans="1:15">
      <c r="A62" s="347"/>
      <c r="B62" s="347"/>
      <c r="C62" s="348"/>
      <c r="D62" s="349" t="s">
        <v>1315</v>
      </c>
      <c r="E62" s="361"/>
      <c r="F62" s="351">
        <f>Cronograma!T18</f>
        <v>12</v>
      </c>
      <c r="G62" s="352"/>
      <c r="H62" s="353"/>
      <c r="I62" s="353"/>
      <c r="J62" s="353"/>
      <c r="K62" s="353"/>
      <c r="L62" s="353"/>
      <c r="M62" s="353">
        <f>F62</f>
        <v>12</v>
      </c>
      <c r="N62" s="405"/>
      <c r="O62" s="352"/>
    </row>
    <row r="63" spans="1:15">
      <c r="A63" s="347"/>
      <c r="B63" s="347"/>
      <c r="C63" s="348"/>
      <c r="D63" s="349"/>
      <c r="E63" s="361"/>
      <c r="F63" s="351"/>
      <c r="G63" s="352"/>
      <c r="H63" s="353"/>
      <c r="I63" s="353"/>
      <c r="J63" s="353"/>
      <c r="K63" s="353"/>
      <c r="L63" s="353"/>
      <c r="M63" s="353"/>
      <c r="N63" s="405"/>
      <c r="O63" s="352"/>
    </row>
    <row r="64" spans="1:15" ht="15" customHeight="1">
      <c r="A64" s="339" t="s">
        <v>56</v>
      </c>
      <c r="B64" s="339" t="s">
        <v>4</v>
      </c>
      <c r="C64" s="340" t="s">
        <v>156</v>
      </c>
      <c r="D64" s="341" t="s">
        <v>157</v>
      </c>
      <c r="E64" s="342" t="s">
        <v>158</v>
      </c>
      <c r="F64" s="343"/>
      <c r="G64" s="344"/>
      <c r="H64" s="345"/>
      <c r="I64" s="345"/>
      <c r="J64" s="345"/>
      <c r="K64" s="345"/>
      <c r="L64" s="345"/>
      <c r="M64" s="346">
        <f>SUM(M65:M66)</f>
        <v>48</v>
      </c>
      <c r="N64" s="408"/>
      <c r="O64" s="409"/>
    </row>
    <row r="65" spans="1:15">
      <c r="A65" s="347"/>
      <c r="B65" s="347"/>
      <c r="C65" s="348"/>
      <c r="D65" s="349" t="s">
        <v>1315</v>
      </c>
      <c r="E65" s="361"/>
      <c r="F65" s="351">
        <v>4</v>
      </c>
      <c r="G65" s="352">
        <f>Cronograma!T18</f>
        <v>12</v>
      </c>
      <c r="H65" s="353"/>
      <c r="I65" s="353"/>
      <c r="J65" s="353"/>
      <c r="K65" s="353"/>
      <c r="L65" s="353"/>
      <c r="M65" s="353">
        <f>F65*G65</f>
        <v>48</v>
      </c>
      <c r="N65" s="405"/>
      <c r="O65" s="352"/>
    </row>
    <row r="66" spans="1:15">
      <c r="A66" s="347"/>
      <c r="B66" s="347"/>
      <c r="C66" s="348"/>
      <c r="D66" s="349"/>
      <c r="E66" s="361"/>
      <c r="F66" s="351"/>
      <c r="G66" s="352"/>
      <c r="H66" s="353"/>
      <c r="I66" s="353"/>
      <c r="J66" s="353"/>
      <c r="K66" s="353"/>
      <c r="L66" s="353"/>
      <c r="M66" s="353"/>
      <c r="N66" s="405"/>
      <c r="O66" s="352"/>
    </row>
    <row r="67" spans="1:15">
      <c r="A67" s="319"/>
      <c r="B67" s="320"/>
      <c r="C67" s="321"/>
      <c r="D67" s="322"/>
      <c r="E67" s="320"/>
      <c r="F67" s="323"/>
      <c r="G67" s="324"/>
      <c r="H67" s="324"/>
      <c r="I67" s="324"/>
      <c r="J67" s="324"/>
      <c r="K67" s="324"/>
      <c r="L67" s="324"/>
      <c r="M67" s="324"/>
      <c r="N67" s="325"/>
      <c r="O67" s="326"/>
    </row>
    <row r="68" spans="1:15">
      <c r="A68" s="301">
        <v>3</v>
      </c>
      <c r="B68" s="302"/>
      <c r="C68" s="303"/>
      <c r="D68" s="304" t="s">
        <v>44</v>
      </c>
      <c r="E68" s="305"/>
      <c r="F68" s="306"/>
      <c r="G68" s="307"/>
      <c r="H68" s="307"/>
      <c r="I68" s="307"/>
      <c r="J68" s="307"/>
      <c r="K68" s="307"/>
      <c r="L68" s="307"/>
      <c r="M68" s="308"/>
      <c r="N68" s="402"/>
      <c r="O68" s="308"/>
    </row>
    <row r="69" spans="1:15">
      <c r="A69" s="311" t="s">
        <v>84</v>
      </c>
      <c r="B69" s="312"/>
      <c r="C69" s="313"/>
      <c r="D69" s="314" t="s">
        <v>46</v>
      </c>
      <c r="E69" s="327"/>
      <c r="F69" s="328"/>
      <c r="G69" s="329"/>
      <c r="H69" s="329"/>
      <c r="I69" s="329"/>
      <c r="J69" s="329"/>
      <c r="K69" s="329"/>
      <c r="L69" s="329"/>
      <c r="M69" s="330"/>
      <c r="N69" s="407"/>
      <c r="O69" s="330"/>
    </row>
    <row r="70" spans="1:15">
      <c r="A70" s="339" t="s">
        <v>86</v>
      </c>
      <c r="B70" s="339" t="s">
        <v>160</v>
      </c>
      <c r="C70" s="340" t="s">
        <v>161</v>
      </c>
      <c r="D70" s="436" t="s">
        <v>1316</v>
      </c>
      <c r="E70" s="422" t="s">
        <v>163</v>
      </c>
      <c r="F70" s="438"/>
      <c r="G70" s="344"/>
      <c r="H70" s="345"/>
      <c r="I70" s="345"/>
      <c r="J70" s="345"/>
      <c r="K70" s="345"/>
      <c r="L70" s="345"/>
      <c r="M70" s="346">
        <f>SUM(M71:M73)</f>
        <v>137</v>
      </c>
      <c r="N70" s="404"/>
      <c r="O70" s="409"/>
    </row>
    <row r="71" spans="1:15">
      <c r="A71" s="366"/>
      <c r="B71" s="366"/>
      <c r="C71" s="367"/>
      <c r="D71" s="421" t="s">
        <v>1317</v>
      </c>
      <c r="E71" s="422"/>
      <c r="F71" s="423">
        <v>119</v>
      </c>
      <c r="G71" s="352"/>
      <c r="H71" s="353"/>
      <c r="I71" s="353"/>
      <c r="J71" s="353"/>
      <c r="K71" s="353"/>
      <c r="L71" s="353"/>
      <c r="M71" s="353">
        <f>F71</f>
        <v>119</v>
      </c>
      <c r="N71" s="405"/>
      <c r="O71" s="352"/>
    </row>
    <row r="72" spans="1:15">
      <c r="A72" s="347"/>
      <c r="B72" s="347"/>
      <c r="C72" s="348"/>
      <c r="D72" s="349" t="s">
        <v>1318</v>
      </c>
      <c r="E72" s="361"/>
      <c r="F72" s="351">
        <v>18</v>
      </c>
      <c r="G72" s="352"/>
      <c r="H72" s="353"/>
      <c r="I72" s="353"/>
      <c r="J72" s="353"/>
      <c r="K72" s="353"/>
      <c r="L72" s="353"/>
      <c r="M72" s="353">
        <f>F72</f>
        <v>18</v>
      </c>
      <c r="N72" s="405"/>
      <c r="O72" s="352"/>
    </row>
    <row r="73" spans="1:15">
      <c r="A73" s="347"/>
      <c r="B73" s="347"/>
      <c r="C73" s="348"/>
      <c r="D73" s="349"/>
      <c r="E73" s="361"/>
      <c r="F73" s="351"/>
      <c r="G73" s="352"/>
      <c r="H73" s="353"/>
      <c r="I73" s="353"/>
      <c r="J73" s="353"/>
      <c r="K73" s="353"/>
      <c r="L73" s="353"/>
      <c r="M73" s="353"/>
      <c r="N73" s="405"/>
      <c r="O73" s="352"/>
    </row>
    <row r="74" spans="1:15">
      <c r="A74" s="339" t="s">
        <v>87</v>
      </c>
      <c r="B74" s="339" t="s">
        <v>4</v>
      </c>
      <c r="C74" s="340" t="s">
        <v>165</v>
      </c>
      <c r="D74" s="436" t="s">
        <v>166</v>
      </c>
      <c r="E74" s="437" t="s">
        <v>167</v>
      </c>
      <c r="F74" s="438"/>
      <c r="G74" s="344"/>
      <c r="H74" s="345"/>
      <c r="I74" s="345"/>
      <c r="J74" s="345"/>
      <c r="K74" s="345"/>
      <c r="L74" s="345"/>
      <c r="M74" s="346">
        <f>SUM(M75:M76)</f>
        <v>45</v>
      </c>
      <c r="N74" s="404"/>
      <c r="O74" s="409"/>
    </row>
    <row r="75" spans="1:15">
      <c r="A75" s="366"/>
      <c r="B75" s="366"/>
      <c r="C75" s="367"/>
      <c r="D75" s="421" t="s">
        <v>1317</v>
      </c>
      <c r="E75" s="422"/>
      <c r="F75" s="423">
        <v>28</v>
      </c>
      <c r="G75" s="352"/>
      <c r="H75" s="353"/>
      <c r="I75" s="353"/>
      <c r="J75" s="353"/>
      <c r="K75" s="353"/>
      <c r="L75" s="353"/>
      <c r="M75" s="353">
        <f>F75</f>
        <v>28</v>
      </c>
      <c r="N75" s="405"/>
      <c r="O75" s="352"/>
    </row>
    <row r="76" spans="1:15">
      <c r="A76" s="347"/>
      <c r="B76" s="347"/>
      <c r="C76" s="348"/>
      <c r="D76" s="349" t="s">
        <v>1318</v>
      </c>
      <c r="E76" s="361"/>
      <c r="F76" s="351">
        <v>17</v>
      </c>
      <c r="G76" s="352"/>
      <c r="H76" s="353"/>
      <c r="I76" s="353"/>
      <c r="J76" s="353"/>
      <c r="K76" s="353"/>
      <c r="L76" s="353"/>
      <c r="M76" s="353">
        <f>F76</f>
        <v>17</v>
      </c>
      <c r="N76" s="405"/>
      <c r="O76" s="352"/>
    </row>
    <row r="77" spans="1:15">
      <c r="A77" s="347"/>
      <c r="B77" s="347"/>
      <c r="C77" s="348"/>
      <c r="D77" s="349"/>
      <c r="E77" s="361"/>
      <c r="F77" s="351"/>
      <c r="G77" s="352"/>
      <c r="H77" s="353"/>
      <c r="I77" s="353"/>
      <c r="J77" s="353"/>
      <c r="K77" s="353"/>
      <c r="L77" s="353"/>
      <c r="M77" s="353"/>
      <c r="N77" s="405"/>
      <c r="O77" s="352"/>
    </row>
    <row r="78" spans="1:15">
      <c r="A78" s="339" t="s">
        <v>1319</v>
      </c>
      <c r="B78" s="339" t="s">
        <v>160</v>
      </c>
      <c r="C78" s="340" t="s">
        <v>169</v>
      </c>
      <c r="D78" s="436" t="s">
        <v>170</v>
      </c>
      <c r="E78" s="437" t="s">
        <v>167</v>
      </c>
      <c r="F78" s="438"/>
      <c r="G78" s="344"/>
      <c r="H78" s="345"/>
      <c r="I78" s="345"/>
      <c r="J78" s="345"/>
      <c r="K78" s="345"/>
      <c r="L78" s="345"/>
      <c r="M78" s="346">
        <f>SUM(M79:M80)</f>
        <v>7</v>
      </c>
      <c r="N78" s="404"/>
      <c r="O78" s="409"/>
    </row>
    <row r="79" spans="1:15">
      <c r="A79" s="366"/>
      <c r="B79" s="366"/>
      <c r="C79" s="367"/>
      <c r="D79" s="421" t="s">
        <v>1317</v>
      </c>
      <c r="E79" s="422"/>
      <c r="F79" s="423">
        <v>6</v>
      </c>
      <c r="G79" s="352"/>
      <c r="H79" s="353"/>
      <c r="I79" s="353"/>
      <c r="J79" s="353"/>
      <c r="K79" s="353"/>
      <c r="L79" s="353"/>
      <c r="M79" s="353">
        <f>F79</f>
        <v>6</v>
      </c>
      <c r="N79" s="405"/>
      <c r="O79" s="352"/>
    </row>
    <row r="80" spans="1:15">
      <c r="A80" s="347"/>
      <c r="B80" s="347"/>
      <c r="C80" s="348"/>
      <c r="D80" s="349" t="s">
        <v>1318</v>
      </c>
      <c r="E80" s="361"/>
      <c r="F80" s="351">
        <v>1</v>
      </c>
      <c r="G80" s="352"/>
      <c r="H80" s="353"/>
      <c r="I80" s="353"/>
      <c r="J80" s="353"/>
      <c r="K80" s="353"/>
      <c r="L80" s="353"/>
      <c r="M80" s="353">
        <f>F80</f>
        <v>1</v>
      </c>
      <c r="N80" s="405"/>
      <c r="O80" s="352"/>
    </row>
    <row r="81" spans="1:15">
      <c r="A81" s="347"/>
      <c r="B81" s="347"/>
      <c r="C81" s="348"/>
      <c r="D81" s="349"/>
      <c r="E81" s="361"/>
      <c r="F81" s="351"/>
      <c r="G81" s="352"/>
      <c r="H81" s="353"/>
      <c r="I81" s="353"/>
      <c r="J81" s="353"/>
      <c r="K81" s="353"/>
      <c r="L81" s="353"/>
      <c r="M81" s="353"/>
      <c r="N81" s="405"/>
      <c r="O81" s="352"/>
    </row>
    <row r="82" spans="1:15">
      <c r="A82" s="339" t="s">
        <v>1320</v>
      </c>
      <c r="B82" s="339" t="s">
        <v>160</v>
      </c>
      <c r="C82" s="340" t="s">
        <v>172</v>
      </c>
      <c r="D82" s="436" t="s">
        <v>173</v>
      </c>
      <c r="E82" s="437" t="s">
        <v>167</v>
      </c>
      <c r="F82" s="438"/>
      <c r="G82" s="344"/>
      <c r="H82" s="345"/>
      <c r="I82" s="345"/>
      <c r="J82" s="345"/>
      <c r="K82" s="345"/>
      <c r="L82" s="345"/>
      <c r="M82" s="346">
        <f>SUM(M83:M84)</f>
        <v>29</v>
      </c>
      <c r="N82" s="404"/>
      <c r="O82" s="409"/>
    </row>
    <row r="83" spans="1:15">
      <c r="A83" s="366"/>
      <c r="B83" s="366"/>
      <c r="C83" s="367"/>
      <c r="D83" s="421" t="s">
        <v>1317</v>
      </c>
      <c r="E83" s="422"/>
      <c r="F83" s="423">
        <v>20</v>
      </c>
      <c r="G83" s="352"/>
      <c r="H83" s="353"/>
      <c r="I83" s="353"/>
      <c r="J83" s="353"/>
      <c r="K83" s="353"/>
      <c r="L83" s="353"/>
      <c r="M83" s="353">
        <f>F83</f>
        <v>20</v>
      </c>
      <c r="N83" s="405"/>
      <c r="O83" s="352"/>
    </row>
    <row r="84" spans="1:15">
      <c r="A84" s="347"/>
      <c r="B84" s="347"/>
      <c r="C84" s="348"/>
      <c r="D84" s="349" t="s">
        <v>1318</v>
      </c>
      <c r="E84" s="361"/>
      <c r="F84" s="351">
        <v>9</v>
      </c>
      <c r="G84" s="352"/>
      <c r="H84" s="353"/>
      <c r="I84" s="353"/>
      <c r="J84" s="353"/>
      <c r="K84" s="353"/>
      <c r="L84" s="353"/>
      <c r="M84" s="353">
        <f>F84</f>
        <v>9</v>
      </c>
      <c r="N84" s="405"/>
      <c r="O84" s="352"/>
    </row>
    <row r="85" spans="1:15">
      <c r="A85" s="347"/>
      <c r="B85" s="347"/>
      <c r="C85" s="348"/>
      <c r="D85" s="349"/>
      <c r="E85" s="361"/>
      <c r="F85" s="351"/>
      <c r="G85" s="352"/>
      <c r="H85" s="353"/>
      <c r="I85" s="353"/>
      <c r="J85" s="353"/>
      <c r="K85" s="353"/>
      <c r="L85" s="353"/>
      <c r="M85" s="353"/>
      <c r="N85" s="405"/>
      <c r="O85" s="352"/>
    </row>
    <row r="86" spans="1:15" ht="15" customHeight="1">
      <c r="A86" s="339" t="s">
        <v>1321</v>
      </c>
      <c r="B86" s="339" t="s">
        <v>3</v>
      </c>
      <c r="C86" s="340" t="s">
        <v>175</v>
      </c>
      <c r="D86" s="341" t="s">
        <v>176</v>
      </c>
      <c r="E86" s="342" t="s">
        <v>167</v>
      </c>
      <c r="F86" s="343"/>
      <c r="G86" s="344"/>
      <c r="H86" s="345"/>
      <c r="I86" s="345"/>
      <c r="J86" s="345"/>
      <c r="K86" s="345"/>
      <c r="L86" s="345"/>
      <c r="M86" s="346">
        <f>SUM(M87:M88)</f>
        <v>20</v>
      </c>
      <c r="N86" s="408"/>
      <c r="O86" s="409"/>
    </row>
    <row r="87" spans="1:15">
      <c r="A87" s="347"/>
      <c r="B87" s="347"/>
      <c r="C87" s="348"/>
      <c r="D87" s="349" t="s">
        <v>1317</v>
      </c>
      <c r="E87" s="361"/>
      <c r="F87" s="351">
        <v>20</v>
      </c>
      <c r="G87" s="352"/>
      <c r="H87" s="353"/>
      <c r="I87" s="353"/>
      <c r="J87" s="353"/>
      <c r="K87" s="353"/>
      <c r="L87" s="353"/>
      <c r="M87" s="353">
        <f>F87</f>
        <v>20</v>
      </c>
      <c r="N87" s="405"/>
      <c r="O87" s="352"/>
    </row>
    <row r="88" spans="1:15">
      <c r="A88" s="347"/>
      <c r="B88" s="347"/>
      <c r="C88" s="348"/>
      <c r="D88" s="349"/>
      <c r="E88" s="361"/>
      <c r="F88" s="351"/>
      <c r="G88" s="352"/>
      <c r="H88" s="353"/>
      <c r="I88" s="353"/>
      <c r="J88" s="353"/>
      <c r="K88" s="353"/>
      <c r="L88" s="353"/>
      <c r="M88" s="353"/>
      <c r="N88" s="405"/>
      <c r="O88" s="352"/>
    </row>
    <row r="89" spans="1:15" ht="31.5">
      <c r="A89" s="339" t="s">
        <v>1322</v>
      </c>
      <c r="B89" s="339" t="s">
        <v>3</v>
      </c>
      <c r="C89" s="340" t="s">
        <v>178</v>
      </c>
      <c r="D89" s="436" t="s">
        <v>179</v>
      </c>
      <c r="E89" s="437" t="s">
        <v>180</v>
      </c>
      <c r="F89" s="438"/>
      <c r="G89" s="344"/>
      <c r="H89" s="345"/>
      <c r="I89" s="345"/>
      <c r="J89" s="345"/>
      <c r="K89" s="345"/>
      <c r="L89" s="345"/>
      <c r="M89" s="346">
        <f>SUM(M90:M91)</f>
        <v>513</v>
      </c>
      <c r="N89" s="404"/>
      <c r="O89" s="409"/>
    </row>
    <row r="90" spans="1:15">
      <c r="A90" s="366"/>
      <c r="B90" s="366"/>
      <c r="C90" s="367"/>
      <c r="D90" s="421" t="s">
        <v>1317</v>
      </c>
      <c r="E90" s="422"/>
      <c r="F90" s="423">
        <f>330*1.1</f>
        <v>363.00000000000006</v>
      </c>
      <c r="G90" s="352"/>
      <c r="H90" s="353"/>
      <c r="I90" s="353"/>
      <c r="J90" s="353"/>
      <c r="K90" s="353"/>
      <c r="L90" s="353"/>
      <c r="M90" s="353">
        <f>F90</f>
        <v>363.00000000000006</v>
      </c>
      <c r="N90" s="405"/>
      <c r="O90" s="352"/>
    </row>
    <row r="91" spans="1:15">
      <c r="A91" s="347"/>
      <c r="B91" s="347"/>
      <c r="C91" s="348"/>
      <c r="D91" s="349" t="s">
        <v>1318</v>
      </c>
      <c r="E91" s="361"/>
      <c r="F91" s="351">
        <v>150</v>
      </c>
      <c r="G91" s="352"/>
      <c r="H91" s="353"/>
      <c r="I91" s="353"/>
      <c r="J91" s="353"/>
      <c r="K91" s="353"/>
      <c r="L91" s="353"/>
      <c r="M91" s="353">
        <f>F91</f>
        <v>150</v>
      </c>
      <c r="N91" s="405"/>
      <c r="O91" s="352"/>
    </row>
    <row r="92" spans="1:15">
      <c r="A92" s="347"/>
      <c r="B92" s="347"/>
      <c r="C92" s="348"/>
      <c r="D92" s="349"/>
      <c r="E92" s="361"/>
      <c r="F92" s="351"/>
      <c r="G92" s="352"/>
      <c r="H92" s="353"/>
      <c r="I92" s="353"/>
      <c r="J92" s="353"/>
      <c r="K92" s="353"/>
      <c r="L92" s="353"/>
      <c r="M92" s="353"/>
      <c r="N92" s="405"/>
      <c r="O92" s="352"/>
    </row>
    <row r="93" spans="1:15" ht="31.5">
      <c r="A93" s="339" t="s">
        <v>1323</v>
      </c>
      <c r="B93" s="339" t="s">
        <v>3</v>
      </c>
      <c r="C93" s="340" t="s">
        <v>182</v>
      </c>
      <c r="D93" s="436" t="s">
        <v>183</v>
      </c>
      <c r="E93" s="437" t="s">
        <v>180</v>
      </c>
      <c r="F93" s="438"/>
      <c r="G93" s="344"/>
      <c r="H93" s="345"/>
      <c r="I93" s="345"/>
      <c r="J93" s="345"/>
      <c r="K93" s="345"/>
      <c r="L93" s="345"/>
      <c r="M93" s="346">
        <f>SUM(M94:M95)</f>
        <v>1635.0000000000002</v>
      </c>
      <c r="N93" s="404"/>
      <c r="O93" s="409"/>
    </row>
    <row r="94" spans="1:15">
      <c r="A94" s="366"/>
      <c r="B94" s="366"/>
      <c r="C94" s="367"/>
      <c r="D94" s="421" t="s">
        <v>1317</v>
      </c>
      <c r="E94" s="422"/>
      <c r="F94" s="423">
        <f>(910*1.1)+(440*1.1)</f>
        <v>1485.0000000000002</v>
      </c>
      <c r="G94" s="352"/>
      <c r="H94" s="353"/>
      <c r="I94" s="353"/>
      <c r="J94" s="353"/>
      <c r="K94" s="353"/>
      <c r="L94" s="353"/>
      <c r="M94" s="353">
        <f>F94</f>
        <v>1485.0000000000002</v>
      </c>
      <c r="N94" s="405"/>
      <c r="O94" s="352"/>
    </row>
    <row r="95" spans="1:15">
      <c r="A95" s="347"/>
      <c r="B95" s="347"/>
      <c r="C95" s="348"/>
      <c r="D95" s="349" t="s">
        <v>1318</v>
      </c>
      <c r="E95" s="361"/>
      <c r="F95" s="351">
        <v>150</v>
      </c>
      <c r="G95" s="352"/>
      <c r="H95" s="353"/>
      <c r="I95" s="353"/>
      <c r="J95" s="353"/>
      <c r="K95" s="353"/>
      <c r="L95" s="353"/>
      <c r="M95" s="353">
        <f>F95</f>
        <v>150</v>
      </c>
      <c r="N95" s="405"/>
      <c r="O95" s="352"/>
    </row>
    <row r="96" spans="1:15">
      <c r="A96" s="347"/>
      <c r="B96" s="347"/>
      <c r="C96" s="348"/>
      <c r="D96" s="349"/>
      <c r="E96" s="361"/>
      <c r="F96" s="351"/>
      <c r="G96" s="352"/>
      <c r="H96" s="353"/>
      <c r="I96" s="353"/>
      <c r="J96" s="353"/>
      <c r="K96" s="353"/>
      <c r="L96" s="353"/>
      <c r="M96" s="353"/>
      <c r="N96" s="405"/>
      <c r="O96" s="352"/>
    </row>
    <row r="97" spans="1:15">
      <c r="A97" s="339" t="s">
        <v>1324</v>
      </c>
      <c r="B97" s="339" t="s">
        <v>2</v>
      </c>
      <c r="C97" s="340">
        <v>104754</v>
      </c>
      <c r="D97" s="436" t="s">
        <v>185</v>
      </c>
      <c r="E97" s="437" t="s">
        <v>167</v>
      </c>
      <c r="F97" s="438"/>
      <c r="G97" s="344"/>
      <c r="H97" s="345"/>
      <c r="I97" s="345"/>
      <c r="J97" s="345"/>
      <c r="K97" s="345"/>
      <c r="L97" s="345"/>
      <c r="M97" s="346">
        <f>SUM(M98:M99)</f>
        <v>149</v>
      </c>
      <c r="N97" s="404"/>
      <c r="O97" s="409"/>
    </row>
    <row r="98" spans="1:15">
      <c r="A98" s="366"/>
      <c r="B98" s="366"/>
      <c r="C98" s="367"/>
      <c r="D98" s="421" t="s">
        <v>1317</v>
      </c>
      <c r="E98" s="422"/>
      <c r="F98" s="423">
        <f>91+28</f>
        <v>119</v>
      </c>
      <c r="G98" s="352"/>
      <c r="H98" s="353"/>
      <c r="I98" s="353"/>
      <c r="J98" s="353"/>
      <c r="K98" s="353"/>
      <c r="L98" s="353"/>
      <c r="M98" s="353">
        <f>F98</f>
        <v>119</v>
      </c>
      <c r="N98" s="405"/>
      <c r="O98" s="352"/>
    </row>
    <row r="99" spans="1:15">
      <c r="A99" s="347"/>
      <c r="B99" s="347"/>
      <c r="C99" s="348"/>
      <c r="D99" s="349" t="s">
        <v>1318</v>
      </c>
      <c r="E99" s="361"/>
      <c r="F99" s="351">
        <v>30</v>
      </c>
      <c r="G99" s="352"/>
      <c r="H99" s="353"/>
      <c r="I99" s="353"/>
      <c r="J99" s="353"/>
      <c r="K99" s="353"/>
      <c r="L99" s="353"/>
      <c r="M99" s="353">
        <f>F99</f>
        <v>30</v>
      </c>
      <c r="N99" s="405"/>
      <c r="O99" s="352"/>
    </row>
    <row r="100" spans="1:15">
      <c r="A100" s="347"/>
      <c r="B100" s="347"/>
      <c r="C100" s="348"/>
      <c r="D100" s="349"/>
      <c r="E100" s="361"/>
      <c r="F100" s="351"/>
      <c r="G100" s="352"/>
      <c r="H100" s="353"/>
      <c r="I100" s="353"/>
      <c r="J100" s="353"/>
      <c r="K100" s="353"/>
      <c r="L100" s="353"/>
      <c r="M100" s="353"/>
      <c r="N100" s="405"/>
      <c r="O100" s="352"/>
    </row>
    <row r="101" spans="1:15" ht="15" customHeight="1">
      <c r="A101" s="339" t="s">
        <v>1325</v>
      </c>
      <c r="B101" s="339" t="s">
        <v>2</v>
      </c>
      <c r="C101" s="340">
        <v>104746</v>
      </c>
      <c r="D101" s="341" t="s">
        <v>187</v>
      </c>
      <c r="E101" s="342" t="s">
        <v>167</v>
      </c>
      <c r="F101" s="343"/>
      <c r="G101" s="344"/>
      <c r="H101" s="345"/>
      <c r="I101" s="345"/>
      <c r="J101" s="345"/>
      <c r="K101" s="345"/>
      <c r="L101" s="345"/>
      <c r="M101" s="346">
        <f>SUM(M102:M103)</f>
        <v>28</v>
      </c>
      <c r="N101" s="408"/>
      <c r="O101" s="409"/>
    </row>
    <row r="102" spans="1:15">
      <c r="A102" s="347"/>
      <c r="B102" s="347"/>
      <c r="C102" s="348"/>
      <c r="D102" s="349" t="s">
        <v>1317</v>
      </c>
      <c r="E102" s="361"/>
      <c r="F102" s="351">
        <v>28</v>
      </c>
      <c r="G102" s="352"/>
      <c r="H102" s="353"/>
      <c r="I102" s="353"/>
      <c r="J102" s="353"/>
      <c r="K102" s="353"/>
      <c r="L102" s="353"/>
      <c r="M102" s="353">
        <f>F102</f>
        <v>28</v>
      </c>
      <c r="N102" s="405"/>
      <c r="O102" s="352"/>
    </row>
    <row r="103" spans="1:15">
      <c r="A103" s="347"/>
      <c r="B103" s="347"/>
      <c r="C103" s="348"/>
      <c r="D103" s="349"/>
      <c r="E103" s="361"/>
      <c r="F103" s="351"/>
      <c r="G103" s="352"/>
      <c r="H103" s="353"/>
      <c r="I103" s="353"/>
      <c r="J103" s="353"/>
      <c r="K103" s="353"/>
      <c r="L103" s="353"/>
      <c r="M103" s="353"/>
      <c r="N103" s="405"/>
      <c r="O103" s="352"/>
    </row>
    <row r="104" spans="1:15" ht="31.5">
      <c r="A104" s="339" t="s">
        <v>1326</v>
      </c>
      <c r="B104" s="339" t="s">
        <v>3</v>
      </c>
      <c r="C104" s="340" t="s">
        <v>189</v>
      </c>
      <c r="D104" s="436" t="s">
        <v>190</v>
      </c>
      <c r="E104" s="437" t="s">
        <v>167</v>
      </c>
      <c r="F104" s="438"/>
      <c r="G104" s="344"/>
      <c r="H104" s="345"/>
      <c r="I104" s="345"/>
      <c r="J104" s="345"/>
      <c r="K104" s="345"/>
      <c r="L104" s="345"/>
      <c r="M104" s="346">
        <f>SUM(M105:M106)</f>
        <v>9</v>
      </c>
      <c r="N104" s="404"/>
      <c r="O104" s="409"/>
    </row>
    <row r="105" spans="1:15">
      <c r="A105" s="366"/>
      <c r="B105" s="366"/>
      <c r="C105" s="367"/>
      <c r="D105" s="421" t="s">
        <v>1317</v>
      </c>
      <c r="E105" s="422"/>
      <c r="F105" s="423">
        <v>6</v>
      </c>
      <c r="G105" s="352"/>
      <c r="H105" s="353"/>
      <c r="I105" s="353"/>
      <c r="J105" s="353"/>
      <c r="K105" s="353"/>
      <c r="L105" s="353"/>
      <c r="M105" s="353">
        <f>F105</f>
        <v>6</v>
      </c>
      <c r="N105" s="405"/>
      <c r="O105" s="352"/>
    </row>
    <row r="106" spans="1:15">
      <c r="A106" s="347"/>
      <c r="B106" s="347"/>
      <c r="C106" s="348"/>
      <c r="D106" s="349" t="s">
        <v>1318</v>
      </c>
      <c r="E106" s="361"/>
      <c r="F106" s="351">
        <v>3</v>
      </c>
      <c r="G106" s="352"/>
      <c r="H106" s="353"/>
      <c r="I106" s="353"/>
      <c r="J106" s="353"/>
      <c r="K106" s="353"/>
      <c r="L106" s="353"/>
      <c r="M106" s="353">
        <f>F106</f>
        <v>3</v>
      </c>
      <c r="N106" s="405"/>
      <c r="O106" s="352"/>
    </row>
    <row r="107" spans="1:15">
      <c r="A107" s="347"/>
      <c r="B107" s="347"/>
      <c r="C107" s="348"/>
      <c r="D107" s="349"/>
      <c r="E107" s="361"/>
      <c r="F107" s="351"/>
      <c r="G107" s="352"/>
      <c r="H107" s="353"/>
      <c r="I107" s="353"/>
      <c r="J107" s="353"/>
      <c r="K107" s="353"/>
      <c r="L107" s="353"/>
      <c r="M107" s="353"/>
      <c r="N107" s="405"/>
      <c r="O107" s="352"/>
    </row>
    <row r="108" spans="1:15">
      <c r="A108" s="339" t="s">
        <v>1327</v>
      </c>
      <c r="B108" s="339" t="s">
        <v>2</v>
      </c>
      <c r="C108" s="340">
        <v>96985</v>
      </c>
      <c r="D108" s="436" t="s">
        <v>192</v>
      </c>
      <c r="E108" s="437" t="s">
        <v>167</v>
      </c>
      <c r="F108" s="438"/>
      <c r="G108" s="344"/>
      <c r="H108" s="345"/>
      <c r="I108" s="345"/>
      <c r="J108" s="345"/>
      <c r="K108" s="345"/>
      <c r="L108" s="345"/>
      <c r="M108" s="346">
        <f>SUM(M109:M110)</f>
        <v>30</v>
      </c>
      <c r="N108" s="404"/>
      <c r="O108" s="409"/>
    </row>
    <row r="109" spans="1:15">
      <c r="A109" s="366"/>
      <c r="B109" s="366"/>
      <c r="C109" s="367"/>
      <c r="D109" s="421" t="s">
        <v>1317</v>
      </c>
      <c r="E109" s="422"/>
      <c r="F109" s="423">
        <v>21</v>
      </c>
      <c r="G109" s="352"/>
      <c r="H109" s="353"/>
      <c r="I109" s="353"/>
      <c r="J109" s="353"/>
      <c r="K109" s="353"/>
      <c r="L109" s="353"/>
      <c r="M109" s="353">
        <f>F109</f>
        <v>21</v>
      </c>
      <c r="N109" s="405"/>
      <c r="O109" s="352"/>
    </row>
    <row r="110" spans="1:15">
      <c r="A110" s="347"/>
      <c r="B110" s="347"/>
      <c r="C110" s="348"/>
      <c r="D110" s="349" t="s">
        <v>1318</v>
      </c>
      <c r="E110" s="361"/>
      <c r="F110" s="351">
        <v>9</v>
      </c>
      <c r="G110" s="352"/>
      <c r="H110" s="353"/>
      <c r="I110" s="353"/>
      <c r="J110" s="353"/>
      <c r="K110" s="353"/>
      <c r="L110" s="353"/>
      <c r="M110" s="353">
        <f>F110</f>
        <v>9</v>
      </c>
      <c r="N110" s="405"/>
      <c r="O110" s="352"/>
    </row>
    <row r="111" spans="1:15">
      <c r="A111" s="347"/>
      <c r="B111" s="347"/>
      <c r="C111" s="348"/>
      <c r="D111" s="349"/>
      <c r="E111" s="361"/>
      <c r="F111" s="351"/>
      <c r="G111" s="352"/>
      <c r="H111" s="353"/>
      <c r="I111" s="353"/>
      <c r="J111" s="353"/>
      <c r="K111" s="353"/>
      <c r="L111" s="353"/>
      <c r="M111" s="353"/>
      <c r="N111" s="405"/>
      <c r="O111" s="352"/>
    </row>
    <row r="112" spans="1:15" ht="31.5">
      <c r="A112" s="339" t="s">
        <v>1328</v>
      </c>
      <c r="B112" s="339" t="s">
        <v>2</v>
      </c>
      <c r="C112" s="340">
        <v>91856</v>
      </c>
      <c r="D112" s="341" t="s">
        <v>194</v>
      </c>
      <c r="E112" s="342" t="s">
        <v>180</v>
      </c>
      <c r="F112" s="343"/>
      <c r="G112" s="344"/>
      <c r="H112" s="345"/>
      <c r="I112" s="345"/>
      <c r="J112" s="345"/>
      <c r="K112" s="345"/>
      <c r="L112" s="345"/>
      <c r="M112" s="346">
        <f>SUM(M113:M114)</f>
        <v>85.800000000000011</v>
      </c>
      <c r="N112" s="408"/>
      <c r="O112" s="409"/>
    </row>
    <row r="113" spans="1:15">
      <c r="A113" s="347"/>
      <c r="B113" s="347"/>
      <c r="C113" s="348"/>
      <c r="D113" s="349" t="s">
        <v>1317</v>
      </c>
      <c r="E113" s="361"/>
      <c r="F113" s="351">
        <f>78*1.1</f>
        <v>85.800000000000011</v>
      </c>
      <c r="G113" s="352"/>
      <c r="H113" s="353"/>
      <c r="I113" s="353"/>
      <c r="J113" s="353"/>
      <c r="K113" s="353"/>
      <c r="L113" s="353"/>
      <c r="M113" s="353">
        <f>F113</f>
        <v>85.800000000000011</v>
      </c>
      <c r="N113" s="405"/>
      <c r="O113" s="352"/>
    </row>
    <row r="114" spans="1:15">
      <c r="A114" s="347"/>
      <c r="B114" s="347"/>
      <c r="C114" s="348"/>
      <c r="D114" s="349"/>
      <c r="E114" s="361"/>
      <c r="F114" s="351"/>
      <c r="G114" s="352"/>
      <c r="H114" s="353"/>
      <c r="I114" s="353"/>
      <c r="J114" s="353"/>
      <c r="K114" s="353"/>
      <c r="L114" s="353"/>
      <c r="M114" s="353"/>
      <c r="N114" s="405"/>
      <c r="O114" s="352"/>
    </row>
    <row r="115" spans="1:15" ht="31.5">
      <c r="A115" s="339" t="s">
        <v>1329</v>
      </c>
      <c r="B115" s="339" t="s">
        <v>2</v>
      </c>
      <c r="C115" s="340">
        <v>91864</v>
      </c>
      <c r="D115" s="341" t="s">
        <v>196</v>
      </c>
      <c r="E115" s="342" t="s">
        <v>180</v>
      </c>
      <c r="F115" s="343"/>
      <c r="G115" s="344"/>
      <c r="H115" s="345"/>
      <c r="I115" s="345"/>
      <c r="J115" s="345"/>
      <c r="K115" s="345"/>
      <c r="L115" s="345"/>
      <c r="M115" s="346">
        <f>SUM(M116:M117)</f>
        <v>159</v>
      </c>
      <c r="N115" s="408"/>
      <c r="O115" s="409"/>
    </row>
    <row r="116" spans="1:15">
      <c r="A116" s="347"/>
      <c r="B116" s="347"/>
      <c r="C116" s="348"/>
      <c r="D116" s="349" t="s">
        <v>1317</v>
      </c>
      <c r="E116" s="361"/>
      <c r="F116" s="351">
        <v>159</v>
      </c>
      <c r="G116" s="352"/>
      <c r="H116" s="353"/>
      <c r="I116" s="353"/>
      <c r="J116" s="353"/>
      <c r="K116" s="353"/>
      <c r="L116" s="353"/>
      <c r="M116" s="353">
        <f>F116</f>
        <v>159</v>
      </c>
      <c r="N116" s="405"/>
      <c r="O116" s="352"/>
    </row>
    <row r="117" spans="1:15">
      <c r="A117" s="347"/>
      <c r="B117" s="347"/>
      <c r="C117" s="348"/>
      <c r="D117" s="349"/>
      <c r="E117" s="361"/>
      <c r="F117" s="351"/>
      <c r="G117" s="352"/>
      <c r="H117" s="353"/>
      <c r="I117" s="353"/>
      <c r="J117" s="353"/>
      <c r="K117" s="353"/>
      <c r="L117" s="353"/>
      <c r="M117" s="353"/>
      <c r="N117" s="405"/>
      <c r="O117" s="352"/>
    </row>
    <row r="118" spans="1:15" ht="31.5">
      <c r="A118" s="339" t="s">
        <v>1330</v>
      </c>
      <c r="B118" s="339" t="s">
        <v>3</v>
      </c>
      <c r="C118" s="340" t="s">
        <v>198</v>
      </c>
      <c r="D118" s="341" t="s">
        <v>199</v>
      </c>
      <c r="E118" s="342" t="s">
        <v>167</v>
      </c>
      <c r="F118" s="343"/>
      <c r="G118" s="344"/>
      <c r="H118" s="345"/>
      <c r="I118" s="345"/>
      <c r="J118" s="345"/>
      <c r="K118" s="345"/>
      <c r="L118" s="345"/>
      <c r="M118" s="346">
        <f>SUM(M119:M120)</f>
        <v>5</v>
      </c>
      <c r="N118" s="408"/>
      <c r="O118" s="409"/>
    </row>
    <row r="119" spans="1:15">
      <c r="A119" s="347"/>
      <c r="B119" s="347"/>
      <c r="C119" s="348"/>
      <c r="D119" s="349" t="s">
        <v>1317</v>
      </c>
      <c r="E119" s="361"/>
      <c r="F119" s="351">
        <v>5</v>
      </c>
      <c r="G119" s="352"/>
      <c r="H119" s="353"/>
      <c r="I119" s="353"/>
      <c r="J119" s="353"/>
      <c r="K119" s="353"/>
      <c r="L119" s="353"/>
      <c r="M119" s="353">
        <f>F119</f>
        <v>5</v>
      </c>
      <c r="N119" s="405"/>
      <c r="O119" s="352"/>
    </row>
    <row r="120" spans="1:15">
      <c r="A120" s="347"/>
      <c r="B120" s="347"/>
      <c r="C120" s="348"/>
      <c r="D120" s="349"/>
      <c r="E120" s="361"/>
      <c r="F120" s="351"/>
      <c r="G120" s="352"/>
      <c r="H120" s="353"/>
      <c r="I120" s="353"/>
      <c r="J120" s="353"/>
      <c r="K120" s="353"/>
      <c r="L120" s="353"/>
      <c r="M120" s="353"/>
      <c r="N120" s="405"/>
      <c r="O120" s="352"/>
    </row>
    <row r="121" spans="1:15" ht="31.5">
      <c r="A121" s="339" t="s">
        <v>1331</v>
      </c>
      <c r="B121" s="339" t="s">
        <v>3</v>
      </c>
      <c r="C121" s="340" t="s">
        <v>201</v>
      </c>
      <c r="D121" s="341" t="s">
        <v>202</v>
      </c>
      <c r="E121" s="342" t="s">
        <v>167</v>
      </c>
      <c r="F121" s="343"/>
      <c r="G121" s="344"/>
      <c r="H121" s="345"/>
      <c r="I121" s="345"/>
      <c r="J121" s="345"/>
      <c r="K121" s="345"/>
      <c r="L121" s="345"/>
      <c r="M121" s="346">
        <f>SUM(M122:M123)</f>
        <v>20</v>
      </c>
      <c r="N121" s="408"/>
      <c r="O121" s="409"/>
    </row>
    <row r="122" spans="1:15">
      <c r="A122" s="347"/>
      <c r="B122" s="347"/>
      <c r="C122" s="348"/>
      <c r="D122" s="349" t="s">
        <v>1317</v>
      </c>
      <c r="E122" s="361"/>
      <c r="F122" s="351">
        <v>20</v>
      </c>
      <c r="G122" s="352"/>
      <c r="H122" s="353"/>
      <c r="I122" s="353"/>
      <c r="J122" s="353"/>
      <c r="K122" s="353"/>
      <c r="L122" s="353"/>
      <c r="M122" s="353">
        <f>F122</f>
        <v>20</v>
      </c>
      <c r="N122" s="405"/>
      <c r="O122" s="352"/>
    </row>
    <row r="123" spans="1:15">
      <c r="A123" s="347"/>
      <c r="B123" s="347"/>
      <c r="C123" s="348"/>
      <c r="D123" s="349"/>
      <c r="E123" s="361"/>
      <c r="F123" s="351"/>
      <c r="G123" s="352"/>
      <c r="H123" s="353"/>
      <c r="I123" s="353"/>
      <c r="J123" s="353"/>
      <c r="K123" s="353"/>
      <c r="L123" s="353"/>
      <c r="M123" s="353"/>
      <c r="N123" s="405"/>
      <c r="O123" s="352"/>
    </row>
    <row r="124" spans="1:15">
      <c r="A124" s="339" t="s">
        <v>1332</v>
      </c>
      <c r="B124" s="339" t="s">
        <v>3</v>
      </c>
      <c r="C124" s="340" t="s">
        <v>204</v>
      </c>
      <c r="D124" s="341" t="s">
        <v>205</v>
      </c>
      <c r="E124" s="342" t="s">
        <v>167</v>
      </c>
      <c r="F124" s="343"/>
      <c r="G124" s="344"/>
      <c r="H124" s="345"/>
      <c r="I124" s="345"/>
      <c r="J124" s="345"/>
      <c r="K124" s="345"/>
      <c r="L124" s="345"/>
      <c r="M124" s="346">
        <f>SUM(M125:M126)</f>
        <v>25</v>
      </c>
      <c r="N124" s="408"/>
      <c r="O124" s="409"/>
    </row>
    <row r="125" spans="1:15">
      <c r="A125" s="347"/>
      <c r="B125" s="347"/>
      <c r="C125" s="348"/>
      <c r="D125" s="349" t="s">
        <v>1317</v>
      </c>
      <c r="E125" s="361"/>
      <c r="F125" s="351">
        <v>25</v>
      </c>
      <c r="G125" s="352"/>
      <c r="H125" s="353"/>
      <c r="I125" s="353"/>
      <c r="J125" s="353"/>
      <c r="K125" s="353"/>
      <c r="L125" s="353"/>
      <c r="M125" s="353">
        <f>F125</f>
        <v>25</v>
      </c>
      <c r="N125" s="405"/>
      <c r="O125" s="352"/>
    </row>
    <row r="126" spans="1:15">
      <c r="A126" s="347"/>
      <c r="B126" s="347"/>
      <c r="C126" s="348"/>
      <c r="D126" s="349"/>
      <c r="E126" s="361"/>
      <c r="F126" s="351"/>
      <c r="G126" s="352"/>
      <c r="H126" s="353"/>
      <c r="I126" s="353"/>
      <c r="J126" s="353"/>
      <c r="K126" s="353"/>
      <c r="L126" s="353"/>
      <c r="M126" s="353"/>
      <c r="N126" s="405"/>
      <c r="O126" s="352"/>
    </row>
    <row r="127" spans="1:15" ht="31.5">
      <c r="A127" s="339" t="s">
        <v>1333</v>
      </c>
      <c r="B127" s="339" t="s">
        <v>3</v>
      </c>
      <c r="C127" s="340" t="s">
        <v>207</v>
      </c>
      <c r="D127" s="436" t="s">
        <v>208</v>
      </c>
      <c r="E127" s="437" t="s">
        <v>180</v>
      </c>
      <c r="F127" s="438"/>
      <c r="G127" s="344"/>
      <c r="H127" s="345"/>
      <c r="I127" s="345"/>
      <c r="J127" s="345"/>
      <c r="K127" s="345"/>
      <c r="L127" s="345"/>
      <c r="M127" s="346">
        <f>SUM(M128:M129)</f>
        <v>2525</v>
      </c>
      <c r="N127" s="404"/>
      <c r="O127" s="409"/>
    </row>
    <row r="128" spans="1:15">
      <c r="A128" s="366"/>
      <c r="B128" s="366"/>
      <c r="C128" s="367"/>
      <c r="D128" s="421" t="s">
        <v>1317</v>
      </c>
      <c r="E128" s="422"/>
      <c r="F128" s="423">
        <v>2478</v>
      </c>
      <c r="G128" s="352"/>
      <c r="H128" s="353"/>
      <c r="I128" s="353"/>
      <c r="J128" s="353"/>
      <c r="K128" s="353"/>
      <c r="L128" s="353"/>
      <c r="M128" s="353">
        <f>F128</f>
        <v>2478</v>
      </c>
      <c r="N128" s="405"/>
      <c r="O128" s="352"/>
    </row>
    <row r="129" spans="1:15">
      <c r="A129" s="347"/>
      <c r="B129" s="347"/>
      <c r="C129" s="348"/>
      <c r="D129" s="349" t="s">
        <v>1318</v>
      </c>
      <c r="E129" s="361"/>
      <c r="F129" s="351">
        <v>47</v>
      </c>
      <c r="G129" s="352"/>
      <c r="H129" s="353"/>
      <c r="I129" s="353"/>
      <c r="J129" s="353"/>
      <c r="K129" s="353"/>
      <c r="L129" s="353"/>
      <c r="M129" s="353">
        <f>F129</f>
        <v>47</v>
      </c>
      <c r="N129" s="405"/>
      <c r="O129" s="352"/>
    </row>
    <row r="130" spans="1:15">
      <c r="A130" s="347"/>
      <c r="B130" s="347"/>
      <c r="C130" s="348"/>
      <c r="D130" s="349"/>
      <c r="E130" s="361"/>
      <c r="F130" s="351"/>
      <c r="G130" s="352"/>
      <c r="H130" s="353"/>
      <c r="I130" s="353"/>
      <c r="J130" s="353"/>
      <c r="K130" s="353"/>
      <c r="L130" s="353"/>
      <c r="M130" s="353"/>
      <c r="N130" s="405"/>
      <c r="O130" s="352"/>
    </row>
    <row r="131" spans="1:15" ht="31.5">
      <c r="A131" s="339" t="s">
        <v>1334</v>
      </c>
      <c r="B131" s="339" t="s">
        <v>2</v>
      </c>
      <c r="C131" s="340">
        <v>91863</v>
      </c>
      <c r="D131" s="436" t="s">
        <v>210</v>
      </c>
      <c r="E131" s="437" t="s">
        <v>167</v>
      </c>
      <c r="F131" s="438"/>
      <c r="G131" s="344"/>
      <c r="H131" s="345"/>
      <c r="I131" s="345"/>
      <c r="J131" s="345"/>
      <c r="K131" s="345"/>
      <c r="L131" s="345"/>
      <c r="M131" s="346">
        <f>SUM(M132:M133)</f>
        <v>1958</v>
      </c>
      <c r="N131" s="404"/>
      <c r="O131" s="409"/>
    </row>
    <row r="132" spans="1:15">
      <c r="A132" s="366"/>
      <c r="B132" s="366"/>
      <c r="C132" s="367"/>
      <c r="D132" s="421" t="s">
        <v>1317</v>
      </c>
      <c r="E132" s="422"/>
      <c r="F132" s="423">
        <v>1917</v>
      </c>
      <c r="G132" s="352"/>
      <c r="H132" s="353"/>
      <c r="I132" s="353"/>
      <c r="J132" s="353"/>
      <c r="K132" s="353"/>
      <c r="L132" s="353"/>
      <c r="M132" s="353">
        <f>F132</f>
        <v>1917</v>
      </c>
      <c r="N132" s="405"/>
      <c r="O132" s="352"/>
    </row>
    <row r="133" spans="1:15">
      <c r="A133" s="347"/>
      <c r="B133" s="347"/>
      <c r="C133" s="348"/>
      <c r="D133" s="349" t="s">
        <v>1318</v>
      </c>
      <c r="E133" s="361"/>
      <c r="F133" s="351">
        <v>41</v>
      </c>
      <c r="G133" s="352"/>
      <c r="H133" s="353"/>
      <c r="I133" s="353"/>
      <c r="J133" s="353"/>
      <c r="K133" s="353"/>
      <c r="L133" s="353"/>
      <c r="M133" s="353">
        <f>F133</f>
        <v>41</v>
      </c>
      <c r="N133" s="405"/>
      <c r="O133" s="352"/>
    </row>
    <row r="134" spans="1:15">
      <c r="A134" s="347"/>
      <c r="B134" s="347"/>
      <c r="C134" s="348"/>
      <c r="D134" s="349"/>
      <c r="E134" s="361"/>
      <c r="F134" s="351"/>
      <c r="G134" s="352"/>
      <c r="H134" s="353"/>
      <c r="I134" s="353"/>
      <c r="J134" s="353"/>
      <c r="K134" s="353"/>
      <c r="L134" s="353"/>
      <c r="M134" s="353"/>
      <c r="N134" s="405"/>
      <c r="O134" s="352"/>
    </row>
    <row r="135" spans="1:15" ht="31.5">
      <c r="A135" s="339" t="s">
        <v>1335</v>
      </c>
      <c r="B135" s="339" t="s">
        <v>2</v>
      </c>
      <c r="C135" s="340">
        <v>91873</v>
      </c>
      <c r="D135" s="341" t="s">
        <v>212</v>
      </c>
      <c r="E135" s="342" t="s">
        <v>167</v>
      </c>
      <c r="F135" s="343"/>
      <c r="G135" s="344"/>
      <c r="H135" s="345"/>
      <c r="I135" s="345"/>
      <c r="J135" s="345"/>
      <c r="K135" s="345"/>
      <c r="L135" s="345"/>
      <c r="M135" s="346">
        <f>SUM(M136:M137)</f>
        <v>89</v>
      </c>
      <c r="N135" s="408"/>
      <c r="O135" s="409"/>
    </row>
    <row r="136" spans="1:15">
      <c r="A136" s="347"/>
      <c r="B136" s="347"/>
      <c r="C136" s="348"/>
      <c r="D136" s="349" t="s">
        <v>1317</v>
      </c>
      <c r="E136" s="361"/>
      <c r="F136" s="351">
        <v>89</v>
      </c>
      <c r="G136" s="352"/>
      <c r="H136" s="353"/>
      <c r="I136" s="353"/>
      <c r="J136" s="353"/>
      <c r="K136" s="353"/>
      <c r="L136" s="353"/>
      <c r="M136" s="353">
        <f>F136</f>
        <v>89</v>
      </c>
      <c r="N136" s="405"/>
      <c r="O136" s="352"/>
    </row>
    <row r="137" spans="1:15">
      <c r="A137" s="347"/>
      <c r="B137" s="347"/>
      <c r="C137" s="348"/>
      <c r="D137" s="349"/>
      <c r="E137" s="361"/>
      <c r="F137" s="351"/>
      <c r="G137" s="352"/>
      <c r="H137" s="353"/>
      <c r="I137" s="353"/>
      <c r="J137" s="353"/>
      <c r="K137" s="353"/>
      <c r="L137" s="353"/>
      <c r="M137" s="353"/>
      <c r="N137" s="405"/>
      <c r="O137" s="352"/>
    </row>
    <row r="138" spans="1:15" ht="31.5">
      <c r="A138" s="339" t="s">
        <v>1336</v>
      </c>
      <c r="B138" s="339" t="s">
        <v>3</v>
      </c>
      <c r="C138" s="340" t="s">
        <v>214</v>
      </c>
      <c r="D138" s="341" t="s">
        <v>215</v>
      </c>
      <c r="E138" s="342" t="s">
        <v>167</v>
      </c>
      <c r="F138" s="343"/>
      <c r="G138" s="344"/>
      <c r="H138" s="345"/>
      <c r="I138" s="345"/>
      <c r="J138" s="345"/>
      <c r="K138" s="345"/>
      <c r="L138" s="345"/>
      <c r="M138" s="346">
        <f>SUM(M139:M140)</f>
        <v>5</v>
      </c>
      <c r="N138" s="408"/>
      <c r="O138" s="409"/>
    </row>
    <row r="139" spans="1:15">
      <c r="A139" s="347"/>
      <c r="B139" s="347"/>
      <c r="C139" s="348"/>
      <c r="D139" s="349" t="s">
        <v>1317</v>
      </c>
      <c r="E139" s="361"/>
      <c r="F139" s="351">
        <v>5</v>
      </c>
      <c r="G139" s="352"/>
      <c r="H139" s="353"/>
      <c r="I139" s="353"/>
      <c r="J139" s="353"/>
      <c r="K139" s="353"/>
      <c r="L139" s="353"/>
      <c r="M139" s="353">
        <f>F139</f>
        <v>5</v>
      </c>
      <c r="N139" s="405"/>
      <c r="O139" s="352"/>
    </row>
    <row r="140" spans="1:15">
      <c r="A140" s="347"/>
      <c r="B140" s="347"/>
      <c r="C140" s="348"/>
      <c r="D140" s="349"/>
      <c r="E140" s="361"/>
      <c r="F140" s="351"/>
      <c r="G140" s="352"/>
      <c r="H140" s="353"/>
      <c r="I140" s="353"/>
      <c r="J140" s="353"/>
      <c r="K140" s="353"/>
      <c r="L140" s="353"/>
      <c r="M140" s="353"/>
      <c r="N140" s="405"/>
      <c r="O140" s="352"/>
    </row>
    <row r="141" spans="1:15" ht="31.5">
      <c r="A141" s="339" t="s">
        <v>1337</v>
      </c>
      <c r="B141" s="339" t="s">
        <v>3</v>
      </c>
      <c r="C141" s="340" t="s">
        <v>217</v>
      </c>
      <c r="D141" s="341" t="s">
        <v>218</v>
      </c>
      <c r="E141" s="342" t="s">
        <v>167</v>
      </c>
      <c r="F141" s="343"/>
      <c r="G141" s="344"/>
      <c r="H141" s="345"/>
      <c r="I141" s="345"/>
      <c r="J141" s="345"/>
      <c r="K141" s="345"/>
      <c r="L141" s="345"/>
      <c r="M141" s="346">
        <f>SUM(M142:M143)</f>
        <v>29</v>
      </c>
      <c r="N141" s="408"/>
      <c r="O141" s="409"/>
    </row>
    <row r="142" spans="1:15">
      <c r="A142" s="347"/>
      <c r="B142" s="347"/>
      <c r="C142" s="348"/>
      <c r="D142" s="349" t="s">
        <v>1317</v>
      </c>
      <c r="E142" s="361"/>
      <c r="F142" s="351">
        <v>29</v>
      </c>
      <c r="G142" s="352"/>
      <c r="H142" s="353"/>
      <c r="I142" s="353"/>
      <c r="J142" s="353"/>
      <c r="K142" s="353"/>
      <c r="L142" s="353"/>
      <c r="M142" s="353">
        <f>F142</f>
        <v>29</v>
      </c>
      <c r="N142" s="405"/>
      <c r="O142" s="352"/>
    </row>
    <row r="143" spans="1:15">
      <c r="A143" s="347"/>
      <c r="B143" s="347"/>
      <c r="C143" s="348"/>
      <c r="D143" s="349"/>
      <c r="E143" s="361"/>
      <c r="F143" s="351"/>
      <c r="G143" s="352"/>
      <c r="H143" s="353"/>
      <c r="I143" s="353"/>
      <c r="J143" s="353"/>
      <c r="K143" s="353"/>
      <c r="L143" s="353"/>
      <c r="M143" s="353"/>
      <c r="N143" s="405"/>
      <c r="O143" s="352"/>
    </row>
    <row r="144" spans="1:15" ht="31.5">
      <c r="A144" s="339" t="s">
        <v>1338</v>
      </c>
      <c r="B144" s="339" t="s">
        <v>3</v>
      </c>
      <c r="C144" s="340" t="s">
        <v>220</v>
      </c>
      <c r="D144" s="341" t="s">
        <v>221</v>
      </c>
      <c r="E144" s="342" t="s">
        <v>180</v>
      </c>
      <c r="F144" s="343"/>
      <c r="G144" s="344"/>
      <c r="H144" s="345"/>
      <c r="I144" s="345"/>
      <c r="J144" s="345"/>
      <c r="K144" s="345"/>
      <c r="L144" s="345"/>
      <c r="M144" s="346">
        <f>SUM(M145:M146)</f>
        <v>393</v>
      </c>
      <c r="N144" s="408"/>
      <c r="O144" s="409"/>
    </row>
    <row r="145" spans="1:15">
      <c r="A145" s="347"/>
      <c r="B145" s="347"/>
      <c r="C145" s="348"/>
      <c r="D145" s="349" t="s">
        <v>1317</v>
      </c>
      <c r="E145" s="361"/>
      <c r="F145" s="351">
        <v>393</v>
      </c>
      <c r="G145" s="352"/>
      <c r="H145" s="353"/>
      <c r="I145" s="353"/>
      <c r="J145" s="353"/>
      <c r="K145" s="353"/>
      <c r="L145" s="353"/>
      <c r="M145" s="353">
        <f>F145</f>
        <v>393</v>
      </c>
      <c r="N145" s="405"/>
      <c r="O145" s="352"/>
    </row>
    <row r="146" spans="1:15">
      <c r="A146" s="347"/>
      <c r="B146" s="347"/>
      <c r="C146" s="348"/>
      <c r="D146" s="349"/>
      <c r="E146" s="361"/>
      <c r="F146" s="351"/>
      <c r="G146" s="352"/>
      <c r="H146" s="353"/>
      <c r="I146" s="353"/>
      <c r="J146" s="353"/>
      <c r="K146" s="353"/>
      <c r="L146" s="353"/>
      <c r="M146" s="353"/>
      <c r="N146" s="405"/>
      <c r="O146" s="352"/>
    </row>
    <row r="147" spans="1:15">
      <c r="A147" s="339" t="s">
        <v>1339</v>
      </c>
      <c r="B147" s="339" t="s">
        <v>3</v>
      </c>
      <c r="C147" s="340" t="s">
        <v>223</v>
      </c>
      <c r="D147" s="436" t="s">
        <v>224</v>
      </c>
      <c r="E147" s="437" t="s">
        <v>180</v>
      </c>
      <c r="F147" s="438"/>
      <c r="G147" s="344"/>
      <c r="H147" s="345"/>
      <c r="I147" s="345"/>
      <c r="J147" s="345"/>
      <c r="K147" s="345"/>
      <c r="L147" s="345"/>
      <c r="M147" s="346">
        <f>SUM(M148:M149)</f>
        <v>386</v>
      </c>
      <c r="N147" s="404"/>
      <c r="O147" s="409"/>
    </row>
    <row r="148" spans="1:15">
      <c r="A148" s="366"/>
      <c r="B148" s="366"/>
      <c r="C148" s="367"/>
      <c r="D148" s="421" t="s">
        <v>1317</v>
      </c>
      <c r="E148" s="422"/>
      <c r="F148" s="423">
        <v>338</v>
      </c>
      <c r="G148" s="352"/>
      <c r="H148" s="353"/>
      <c r="I148" s="353"/>
      <c r="J148" s="353"/>
      <c r="K148" s="353"/>
      <c r="L148" s="353"/>
      <c r="M148" s="353">
        <f>F148</f>
        <v>338</v>
      </c>
      <c r="N148" s="405"/>
      <c r="O148" s="352"/>
    </row>
    <row r="149" spans="1:15">
      <c r="A149" s="347"/>
      <c r="B149" s="347"/>
      <c r="C149" s="348"/>
      <c r="D149" s="349" t="s">
        <v>1318</v>
      </c>
      <c r="E149" s="361"/>
      <c r="F149" s="351">
        <v>48</v>
      </c>
      <c r="G149" s="352"/>
      <c r="H149" s="353"/>
      <c r="I149" s="353"/>
      <c r="J149" s="353"/>
      <c r="K149" s="353"/>
      <c r="L149" s="353"/>
      <c r="M149" s="353">
        <f>F149</f>
        <v>48</v>
      </c>
      <c r="N149" s="405"/>
      <c r="O149" s="352"/>
    </row>
    <row r="150" spans="1:15">
      <c r="A150" s="347"/>
      <c r="B150" s="347"/>
      <c r="C150" s="348"/>
      <c r="D150" s="349"/>
      <c r="E150" s="361"/>
      <c r="F150" s="351"/>
      <c r="G150" s="352"/>
      <c r="H150" s="353"/>
      <c r="I150" s="353"/>
      <c r="J150" s="353"/>
      <c r="K150" s="353"/>
      <c r="L150" s="353"/>
      <c r="M150" s="353"/>
      <c r="N150" s="405"/>
      <c r="O150" s="352"/>
    </row>
    <row r="151" spans="1:15" ht="31.5">
      <c r="A151" s="339" t="s">
        <v>1340</v>
      </c>
      <c r="B151" s="339" t="s">
        <v>3</v>
      </c>
      <c r="C151" s="340" t="s">
        <v>226</v>
      </c>
      <c r="D151" s="436" t="s">
        <v>227</v>
      </c>
      <c r="E151" s="437" t="s">
        <v>167</v>
      </c>
      <c r="F151" s="438"/>
      <c r="G151" s="344"/>
      <c r="H151" s="345"/>
      <c r="I151" s="345"/>
      <c r="J151" s="345"/>
      <c r="K151" s="345"/>
      <c r="L151" s="345"/>
      <c r="M151" s="346">
        <f>SUM(M152:M153)</f>
        <v>117</v>
      </c>
      <c r="N151" s="404"/>
      <c r="O151" s="409"/>
    </row>
    <row r="152" spans="1:15">
      <c r="A152" s="366"/>
      <c r="B152" s="366"/>
      <c r="C152" s="367"/>
      <c r="D152" s="421" t="s">
        <v>1317</v>
      </c>
      <c r="E152" s="422"/>
      <c r="F152" s="423">
        <v>116</v>
      </c>
      <c r="G152" s="352"/>
      <c r="H152" s="353"/>
      <c r="I152" s="353"/>
      <c r="J152" s="353"/>
      <c r="K152" s="353"/>
      <c r="L152" s="353"/>
      <c r="M152" s="353">
        <f>F152</f>
        <v>116</v>
      </c>
      <c r="N152" s="405"/>
      <c r="O152" s="352"/>
    </row>
    <row r="153" spans="1:15">
      <c r="A153" s="347"/>
      <c r="B153" s="347"/>
      <c r="C153" s="348"/>
      <c r="D153" s="349" t="s">
        <v>1318</v>
      </c>
      <c r="E153" s="361"/>
      <c r="F153" s="351">
        <v>1</v>
      </c>
      <c r="G153" s="352"/>
      <c r="H153" s="353"/>
      <c r="I153" s="353"/>
      <c r="J153" s="353"/>
      <c r="K153" s="353"/>
      <c r="L153" s="353"/>
      <c r="M153" s="353">
        <f>F153</f>
        <v>1</v>
      </c>
      <c r="N153" s="405"/>
      <c r="O153" s="352"/>
    </row>
    <row r="154" spans="1:15">
      <c r="A154" s="347"/>
      <c r="B154" s="347"/>
      <c r="C154" s="348"/>
      <c r="D154" s="349"/>
      <c r="E154" s="361"/>
      <c r="F154" s="351"/>
      <c r="G154" s="352"/>
      <c r="H154" s="353"/>
      <c r="I154" s="353"/>
      <c r="J154" s="353"/>
      <c r="K154" s="353"/>
      <c r="L154" s="353"/>
      <c r="M154" s="353"/>
      <c r="N154" s="405"/>
      <c r="O154" s="352"/>
    </row>
    <row r="155" spans="1:15" ht="31.5">
      <c r="A155" s="339" t="s">
        <v>1341</v>
      </c>
      <c r="B155" s="339" t="s">
        <v>3</v>
      </c>
      <c r="C155" s="340" t="s">
        <v>229</v>
      </c>
      <c r="D155" s="436" t="s">
        <v>230</v>
      </c>
      <c r="E155" s="437" t="s">
        <v>167</v>
      </c>
      <c r="F155" s="438"/>
      <c r="G155" s="344"/>
      <c r="H155" s="345"/>
      <c r="I155" s="345"/>
      <c r="J155" s="345"/>
      <c r="K155" s="345"/>
      <c r="L155" s="345"/>
      <c r="M155" s="346">
        <f>SUM(M156:M157)</f>
        <v>64</v>
      </c>
      <c r="N155" s="404"/>
      <c r="O155" s="409"/>
    </row>
    <row r="156" spans="1:15">
      <c r="A156" s="366"/>
      <c r="B156" s="366"/>
      <c r="C156" s="367"/>
      <c r="D156" s="421" t="s">
        <v>1317</v>
      </c>
      <c r="E156" s="422"/>
      <c r="F156" s="423">
        <v>63</v>
      </c>
      <c r="G156" s="352"/>
      <c r="H156" s="353"/>
      <c r="I156" s="353"/>
      <c r="J156" s="353"/>
      <c r="K156" s="353"/>
      <c r="L156" s="353"/>
      <c r="M156" s="353">
        <f>F156</f>
        <v>63</v>
      </c>
      <c r="N156" s="405"/>
      <c r="O156" s="352"/>
    </row>
    <row r="157" spans="1:15">
      <c r="A157" s="347"/>
      <c r="B157" s="347"/>
      <c r="C157" s="348"/>
      <c r="D157" s="349" t="s">
        <v>1318</v>
      </c>
      <c r="E157" s="361"/>
      <c r="F157" s="351">
        <v>1</v>
      </c>
      <c r="G157" s="352"/>
      <c r="H157" s="353"/>
      <c r="I157" s="353"/>
      <c r="J157" s="353"/>
      <c r="K157" s="353"/>
      <c r="L157" s="353"/>
      <c r="M157" s="353">
        <f>F157</f>
        <v>1</v>
      </c>
      <c r="N157" s="405"/>
      <c r="O157" s="352"/>
    </row>
    <row r="158" spans="1:15">
      <c r="A158" s="347"/>
      <c r="B158" s="347"/>
      <c r="C158" s="348"/>
      <c r="D158" s="349"/>
      <c r="E158" s="361"/>
      <c r="F158" s="351"/>
      <c r="G158" s="352"/>
      <c r="H158" s="353"/>
      <c r="I158" s="353"/>
      <c r="J158" s="353"/>
      <c r="K158" s="353"/>
      <c r="L158" s="353"/>
      <c r="M158" s="353"/>
      <c r="N158" s="405"/>
      <c r="O158" s="352"/>
    </row>
    <row r="159" spans="1:15" ht="31.5">
      <c r="A159" s="339" t="s">
        <v>1342</v>
      </c>
      <c r="B159" s="339" t="s">
        <v>3</v>
      </c>
      <c r="C159" s="340" t="s">
        <v>232</v>
      </c>
      <c r="D159" s="436" t="s">
        <v>233</v>
      </c>
      <c r="E159" s="437" t="s">
        <v>167</v>
      </c>
      <c r="F159" s="438"/>
      <c r="G159" s="344"/>
      <c r="H159" s="345"/>
      <c r="I159" s="345"/>
      <c r="J159" s="345"/>
      <c r="K159" s="345"/>
      <c r="L159" s="345"/>
      <c r="M159" s="346">
        <f>SUM(M160:M161)</f>
        <v>28</v>
      </c>
      <c r="N159" s="404"/>
      <c r="O159" s="409"/>
    </row>
    <row r="160" spans="1:15">
      <c r="A160" s="366"/>
      <c r="B160" s="366"/>
      <c r="C160" s="367"/>
      <c r="D160" s="421" t="s">
        <v>1317</v>
      </c>
      <c r="E160" s="422"/>
      <c r="F160" s="423">
        <v>27</v>
      </c>
      <c r="G160" s="352"/>
      <c r="H160" s="353"/>
      <c r="I160" s="353"/>
      <c r="J160" s="353"/>
      <c r="K160" s="353"/>
      <c r="L160" s="353"/>
      <c r="M160" s="353">
        <f>F160</f>
        <v>27</v>
      </c>
      <c r="N160" s="405"/>
      <c r="O160" s="352"/>
    </row>
    <row r="161" spans="1:15">
      <c r="A161" s="347"/>
      <c r="B161" s="347"/>
      <c r="C161" s="348"/>
      <c r="D161" s="349" t="s">
        <v>1318</v>
      </c>
      <c r="E161" s="361"/>
      <c r="F161" s="351">
        <v>1</v>
      </c>
      <c r="G161" s="352"/>
      <c r="H161" s="353"/>
      <c r="I161" s="353"/>
      <c r="J161" s="353"/>
      <c r="K161" s="353"/>
      <c r="L161" s="353"/>
      <c r="M161" s="353">
        <f>F161</f>
        <v>1</v>
      </c>
      <c r="N161" s="405"/>
      <c r="O161" s="352"/>
    </row>
    <row r="162" spans="1:15">
      <c r="A162" s="347"/>
      <c r="B162" s="347"/>
      <c r="C162" s="348"/>
      <c r="D162" s="349"/>
      <c r="E162" s="361"/>
      <c r="F162" s="351"/>
      <c r="G162" s="352"/>
      <c r="H162" s="353"/>
      <c r="I162" s="353"/>
      <c r="J162" s="353"/>
      <c r="K162" s="353"/>
      <c r="L162" s="353"/>
      <c r="M162" s="353"/>
      <c r="N162" s="405"/>
      <c r="O162" s="352"/>
    </row>
    <row r="163" spans="1:15" ht="31.5">
      <c r="A163" s="339" t="s">
        <v>1343</v>
      </c>
      <c r="B163" s="339" t="s">
        <v>3</v>
      </c>
      <c r="C163" s="340" t="s">
        <v>232</v>
      </c>
      <c r="D163" s="341" t="s">
        <v>233</v>
      </c>
      <c r="E163" s="342" t="s">
        <v>167</v>
      </c>
      <c r="F163" s="343"/>
      <c r="G163" s="344"/>
      <c r="H163" s="345"/>
      <c r="I163" s="345"/>
      <c r="J163" s="345"/>
      <c r="K163" s="345"/>
      <c r="L163" s="345"/>
      <c r="M163" s="346">
        <f>SUM(M164:M165)</f>
        <v>1</v>
      </c>
      <c r="N163" s="408"/>
      <c r="O163" s="409"/>
    </row>
    <row r="164" spans="1:15">
      <c r="A164" s="347"/>
      <c r="B164" s="347"/>
      <c r="C164" s="348"/>
      <c r="D164" s="349" t="s">
        <v>1317</v>
      </c>
      <c r="E164" s="361"/>
      <c r="F164" s="351">
        <v>1</v>
      </c>
      <c r="G164" s="352"/>
      <c r="H164" s="353"/>
      <c r="I164" s="353"/>
      <c r="J164" s="353"/>
      <c r="K164" s="353"/>
      <c r="L164" s="353"/>
      <c r="M164" s="353">
        <f>F164</f>
        <v>1</v>
      </c>
      <c r="N164" s="405"/>
      <c r="O164" s="352"/>
    </row>
    <row r="165" spans="1:15">
      <c r="A165" s="347"/>
      <c r="B165" s="347"/>
      <c r="C165" s="348"/>
      <c r="D165" s="349"/>
      <c r="E165" s="361"/>
      <c r="F165" s="351"/>
      <c r="G165" s="352"/>
      <c r="H165" s="353"/>
      <c r="I165" s="353"/>
      <c r="J165" s="353"/>
      <c r="K165" s="353"/>
      <c r="L165" s="353"/>
      <c r="M165" s="353"/>
      <c r="N165" s="405"/>
      <c r="O165" s="352"/>
    </row>
    <row r="166" spans="1:15" ht="15" customHeight="1">
      <c r="A166" s="339" t="s">
        <v>1344</v>
      </c>
      <c r="B166" s="339" t="s">
        <v>160</v>
      </c>
      <c r="C166" s="340" t="s">
        <v>236</v>
      </c>
      <c r="D166" s="341" t="s">
        <v>237</v>
      </c>
      <c r="E166" s="342" t="s">
        <v>167</v>
      </c>
      <c r="F166" s="343"/>
      <c r="G166" s="344"/>
      <c r="H166" s="345"/>
      <c r="I166" s="345"/>
      <c r="J166" s="345"/>
      <c r="K166" s="345"/>
      <c r="L166" s="345"/>
      <c r="M166" s="346">
        <f>SUM(M167:M168)</f>
        <v>144</v>
      </c>
      <c r="N166" s="408"/>
      <c r="O166" s="409"/>
    </row>
    <row r="167" spans="1:15">
      <c r="A167" s="347"/>
      <c r="B167" s="347"/>
      <c r="C167" s="348"/>
      <c r="D167" s="349" t="s">
        <v>1317</v>
      </c>
      <c r="E167" s="361"/>
      <c r="F167" s="351">
        <v>144</v>
      </c>
      <c r="G167" s="352"/>
      <c r="H167" s="353"/>
      <c r="I167" s="353"/>
      <c r="J167" s="353"/>
      <c r="K167" s="353"/>
      <c r="L167" s="353"/>
      <c r="M167" s="353">
        <f>F167</f>
        <v>144</v>
      </c>
      <c r="N167" s="405"/>
      <c r="O167" s="352"/>
    </row>
    <row r="168" spans="1:15">
      <c r="A168" s="347"/>
      <c r="B168" s="347"/>
      <c r="C168" s="348"/>
      <c r="D168" s="349"/>
      <c r="E168" s="361"/>
      <c r="F168" s="351"/>
      <c r="G168" s="352"/>
      <c r="H168" s="353"/>
      <c r="I168" s="353"/>
      <c r="J168" s="353"/>
      <c r="K168" s="353"/>
      <c r="L168" s="353"/>
      <c r="M168" s="353"/>
      <c r="N168" s="405"/>
      <c r="O168" s="352"/>
    </row>
    <row r="169" spans="1:15">
      <c r="A169" s="311" t="s">
        <v>88</v>
      </c>
      <c r="B169" s="312"/>
      <c r="C169" s="313"/>
      <c r="D169" s="314" t="s">
        <v>1345</v>
      </c>
      <c r="E169" s="327"/>
      <c r="F169" s="328"/>
      <c r="G169" s="329"/>
      <c r="H169" s="329"/>
      <c r="I169" s="329"/>
      <c r="J169" s="329"/>
      <c r="K169" s="329"/>
      <c r="L169" s="329"/>
      <c r="M169" s="330"/>
      <c r="N169" s="407"/>
      <c r="O169" s="330"/>
    </row>
    <row r="170" spans="1:15" ht="31.5">
      <c r="A170" s="339" t="s">
        <v>90</v>
      </c>
      <c r="B170" s="339" t="s">
        <v>3</v>
      </c>
      <c r="C170" s="340" t="s">
        <v>1346</v>
      </c>
      <c r="D170" s="436" t="s">
        <v>1347</v>
      </c>
      <c r="E170" s="437" t="s">
        <v>180</v>
      </c>
      <c r="F170" s="438"/>
      <c r="G170" s="344"/>
      <c r="H170" s="345"/>
      <c r="I170" s="345"/>
      <c r="J170" s="345"/>
      <c r="K170" s="345"/>
      <c r="L170" s="345"/>
      <c r="M170" s="346">
        <f>SUM(M171:M172)</f>
        <v>667</v>
      </c>
      <c r="N170" s="404"/>
      <c r="O170" s="409"/>
    </row>
    <row r="171" spans="1:15">
      <c r="A171" s="347"/>
      <c r="B171" s="347"/>
      <c r="C171" s="348"/>
      <c r="D171" s="421" t="s">
        <v>1345</v>
      </c>
      <c r="E171" s="422"/>
      <c r="F171" s="423">
        <v>667</v>
      </c>
      <c r="G171" s="352"/>
      <c r="H171" s="353"/>
      <c r="I171" s="353"/>
      <c r="J171" s="353"/>
      <c r="K171" s="353"/>
      <c r="L171" s="353"/>
      <c r="M171" s="353">
        <f>F171</f>
        <v>667</v>
      </c>
      <c r="N171" s="405"/>
      <c r="O171" s="352"/>
    </row>
    <row r="172" spans="1:15">
      <c r="A172" s="347"/>
      <c r="B172" s="347"/>
      <c r="C172" s="348"/>
      <c r="D172" s="439"/>
      <c r="E172" s="440"/>
      <c r="F172" s="441"/>
      <c r="G172" s="352"/>
      <c r="H172" s="353"/>
      <c r="I172" s="353"/>
      <c r="J172" s="353"/>
      <c r="K172" s="353"/>
      <c r="L172" s="353"/>
      <c r="M172" s="353"/>
      <c r="N172" s="406"/>
      <c r="O172" s="359"/>
    </row>
    <row r="173" spans="1:15" ht="31.5">
      <c r="A173" s="339" t="s">
        <v>91</v>
      </c>
      <c r="B173" s="339" t="s">
        <v>3</v>
      </c>
      <c r="C173" s="340" t="s">
        <v>839</v>
      </c>
      <c r="D173" s="436" t="s">
        <v>1348</v>
      </c>
      <c r="E173" s="437" t="s">
        <v>180</v>
      </c>
      <c r="F173" s="438"/>
      <c r="G173" s="344"/>
      <c r="H173" s="345"/>
      <c r="I173" s="345"/>
      <c r="J173" s="345"/>
      <c r="K173" s="345"/>
      <c r="L173" s="345"/>
      <c r="M173" s="346">
        <f>SUM(M174:M175)</f>
        <v>3112</v>
      </c>
      <c r="N173" s="404"/>
      <c r="O173" s="409"/>
    </row>
    <row r="174" spans="1:15">
      <c r="A174" s="347"/>
      <c r="B174" s="347"/>
      <c r="C174" s="348"/>
      <c r="D174" s="421" t="s">
        <v>1345</v>
      </c>
      <c r="E174" s="422"/>
      <c r="F174" s="423">
        <v>3112</v>
      </c>
      <c r="G174" s="352"/>
      <c r="H174" s="353"/>
      <c r="I174" s="353"/>
      <c r="J174" s="353"/>
      <c r="K174" s="353"/>
      <c r="L174" s="353"/>
      <c r="M174" s="353">
        <f>F174</f>
        <v>3112</v>
      </c>
      <c r="N174" s="405"/>
      <c r="O174" s="352"/>
    </row>
    <row r="175" spans="1:15">
      <c r="A175" s="347"/>
      <c r="B175" s="347"/>
      <c r="C175" s="348"/>
      <c r="D175" s="439"/>
      <c r="E175" s="440"/>
      <c r="F175" s="441"/>
      <c r="G175" s="352"/>
      <c r="H175" s="353"/>
      <c r="I175" s="353"/>
      <c r="J175" s="353"/>
      <c r="K175" s="353"/>
      <c r="L175" s="353"/>
      <c r="M175" s="353"/>
      <c r="N175" s="406"/>
      <c r="O175" s="359"/>
    </row>
    <row r="176" spans="1:15" ht="31.5">
      <c r="A176" s="339" t="s">
        <v>1349</v>
      </c>
      <c r="B176" s="339" t="s">
        <v>3</v>
      </c>
      <c r="C176" s="340" t="s">
        <v>330</v>
      </c>
      <c r="D176" s="436" t="s">
        <v>331</v>
      </c>
      <c r="E176" s="437" t="s">
        <v>180</v>
      </c>
      <c r="F176" s="438"/>
      <c r="G176" s="344"/>
      <c r="H176" s="345"/>
      <c r="I176" s="345"/>
      <c r="J176" s="345"/>
      <c r="K176" s="345"/>
      <c r="L176" s="345"/>
      <c r="M176" s="346">
        <f>SUM(M177:M178)</f>
        <v>1408</v>
      </c>
      <c r="N176" s="404"/>
      <c r="O176" s="409"/>
    </row>
    <row r="177" spans="1:15">
      <c r="A177" s="347"/>
      <c r="B177" s="347"/>
      <c r="C177" s="348"/>
      <c r="D177" s="421" t="s">
        <v>1345</v>
      </c>
      <c r="E177" s="422"/>
      <c r="F177" s="423">
        <v>1408</v>
      </c>
      <c r="G177" s="352"/>
      <c r="H177" s="353"/>
      <c r="I177" s="353"/>
      <c r="J177" s="353"/>
      <c r="K177" s="353"/>
      <c r="L177" s="353"/>
      <c r="M177" s="353">
        <f>F177</f>
        <v>1408</v>
      </c>
      <c r="N177" s="405"/>
      <c r="O177" s="352"/>
    </row>
    <row r="178" spans="1:15">
      <c r="A178" s="347"/>
      <c r="B178" s="347"/>
      <c r="C178" s="348"/>
      <c r="D178" s="439"/>
      <c r="E178" s="440"/>
      <c r="F178" s="441"/>
      <c r="G178" s="352"/>
      <c r="H178" s="353"/>
      <c r="I178" s="353"/>
      <c r="J178" s="353"/>
      <c r="K178" s="353"/>
      <c r="L178" s="353"/>
      <c r="M178" s="353"/>
      <c r="N178" s="406"/>
      <c r="O178" s="359"/>
    </row>
    <row r="179" spans="1:15" ht="31.5">
      <c r="A179" s="339" t="s">
        <v>1350</v>
      </c>
      <c r="B179" s="339" t="s">
        <v>3</v>
      </c>
      <c r="C179" s="340" t="s">
        <v>333</v>
      </c>
      <c r="D179" s="436" t="s">
        <v>334</v>
      </c>
      <c r="E179" s="437" t="s">
        <v>180</v>
      </c>
      <c r="F179" s="438"/>
      <c r="G179" s="344"/>
      <c r="H179" s="345"/>
      <c r="I179" s="345"/>
      <c r="J179" s="345"/>
      <c r="K179" s="345"/>
      <c r="L179" s="345"/>
      <c r="M179" s="346">
        <f>SUM(M180:M181)</f>
        <v>604</v>
      </c>
      <c r="N179" s="404"/>
      <c r="O179" s="409"/>
    </row>
    <row r="180" spans="1:15">
      <c r="A180" s="347"/>
      <c r="B180" s="347"/>
      <c r="C180" s="348"/>
      <c r="D180" s="421" t="s">
        <v>1345</v>
      </c>
      <c r="E180" s="422"/>
      <c r="F180" s="423">
        <v>604</v>
      </c>
      <c r="G180" s="352"/>
      <c r="H180" s="353"/>
      <c r="I180" s="353"/>
      <c r="J180" s="353"/>
      <c r="K180" s="353"/>
      <c r="L180" s="353"/>
      <c r="M180" s="353">
        <f>F180</f>
        <v>604</v>
      </c>
      <c r="N180" s="405"/>
      <c r="O180" s="352"/>
    </row>
    <row r="181" spans="1:15">
      <c r="A181" s="347"/>
      <c r="B181" s="347"/>
      <c r="C181" s="348"/>
      <c r="D181" s="439"/>
      <c r="E181" s="440"/>
      <c r="F181" s="441"/>
      <c r="G181" s="352"/>
      <c r="H181" s="353"/>
      <c r="I181" s="353"/>
      <c r="J181" s="353"/>
      <c r="K181" s="353"/>
      <c r="L181" s="353"/>
      <c r="M181" s="353"/>
      <c r="N181" s="406"/>
      <c r="O181" s="359"/>
    </row>
    <row r="182" spans="1:15" ht="47.25">
      <c r="A182" s="339" t="s">
        <v>1351</v>
      </c>
      <c r="B182" s="339" t="s">
        <v>2</v>
      </c>
      <c r="C182" s="340">
        <v>101660</v>
      </c>
      <c r="D182" s="436" t="s">
        <v>1352</v>
      </c>
      <c r="E182" s="437" t="s">
        <v>167</v>
      </c>
      <c r="F182" s="438"/>
      <c r="G182" s="344"/>
      <c r="H182" s="345"/>
      <c r="I182" s="345"/>
      <c r="J182" s="345"/>
      <c r="K182" s="345"/>
      <c r="L182" s="345"/>
      <c r="M182" s="346">
        <f>SUM(M183:M184)</f>
        <v>34</v>
      </c>
      <c r="N182" s="404"/>
      <c r="O182" s="409"/>
    </row>
    <row r="183" spans="1:15">
      <c r="A183" s="347"/>
      <c r="B183" s="347"/>
      <c r="C183" s="348"/>
      <c r="D183" s="421" t="s">
        <v>1345</v>
      </c>
      <c r="E183" s="422"/>
      <c r="F183" s="423">
        <v>34</v>
      </c>
      <c r="G183" s="352"/>
      <c r="H183" s="353"/>
      <c r="I183" s="353"/>
      <c r="J183" s="353"/>
      <c r="K183" s="353"/>
      <c r="L183" s="353"/>
      <c r="M183" s="353">
        <f>F183</f>
        <v>34</v>
      </c>
      <c r="N183" s="405"/>
      <c r="O183" s="352"/>
    </row>
    <row r="184" spans="1:15">
      <c r="A184" s="347"/>
      <c r="B184" s="347"/>
      <c r="C184" s="348"/>
      <c r="D184" s="439"/>
      <c r="E184" s="440"/>
      <c r="F184" s="441"/>
      <c r="G184" s="352"/>
      <c r="H184" s="353"/>
      <c r="I184" s="353"/>
      <c r="J184" s="353"/>
      <c r="K184" s="353"/>
      <c r="L184" s="353"/>
      <c r="M184" s="353"/>
      <c r="N184" s="406"/>
      <c r="O184" s="359"/>
    </row>
    <row r="185" spans="1:15" ht="63">
      <c r="A185" s="339" t="s">
        <v>1353</v>
      </c>
      <c r="B185" s="339" t="s">
        <v>2</v>
      </c>
      <c r="C185" s="340">
        <v>97591</v>
      </c>
      <c r="D185" s="436" t="s">
        <v>1354</v>
      </c>
      <c r="E185" s="437" t="s">
        <v>167</v>
      </c>
      <c r="F185" s="438"/>
      <c r="G185" s="344"/>
      <c r="H185" s="345"/>
      <c r="I185" s="345"/>
      <c r="J185" s="345"/>
      <c r="K185" s="345"/>
      <c r="L185" s="345"/>
      <c r="M185" s="346">
        <f>SUM(M186:M187)</f>
        <v>36</v>
      </c>
      <c r="N185" s="404"/>
      <c r="O185" s="409"/>
    </row>
    <row r="186" spans="1:15">
      <c r="A186" s="347"/>
      <c r="B186" s="347"/>
      <c r="C186" s="348"/>
      <c r="D186" s="421" t="s">
        <v>1345</v>
      </c>
      <c r="E186" s="422"/>
      <c r="F186" s="423">
        <v>36</v>
      </c>
      <c r="G186" s="352"/>
      <c r="H186" s="353"/>
      <c r="I186" s="353"/>
      <c r="J186" s="353"/>
      <c r="K186" s="353"/>
      <c r="L186" s="353"/>
      <c r="M186" s="353">
        <f>F186</f>
        <v>36</v>
      </c>
      <c r="N186" s="405"/>
      <c r="O186" s="352"/>
    </row>
    <row r="187" spans="1:15">
      <c r="A187" s="347"/>
      <c r="B187" s="347"/>
      <c r="C187" s="348"/>
      <c r="D187" s="439"/>
      <c r="E187" s="440"/>
      <c r="F187" s="441"/>
      <c r="G187" s="352"/>
      <c r="H187" s="353"/>
      <c r="I187" s="353"/>
      <c r="J187" s="353"/>
      <c r="K187" s="353"/>
      <c r="L187" s="353"/>
      <c r="M187" s="353"/>
      <c r="N187" s="406"/>
      <c r="O187" s="359"/>
    </row>
    <row r="188" spans="1:15" ht="47.25">
      <c r="A188" s="339" t="s">
        <v>1355</v>
      </c>
      <c r="B188" s="339" t="s">
        <v>3</v>
      </c>
      <c r="C188" s="340" t="s">
        <v>1356</v>
      </c>
      <c r="D188" s="436" t="s">
        <v>1357</v>
      </c>
      <c r="E188" s="437" t="s">
        <v>167</v>
      </c>
      <c r="F188" s="438"/>
      <c r="G188" s="344"/>
      <c r="H188" s="345"/>
      <c r="I188" s="345"/>
      <c r="J188" s="345"/>
      <c r="K188" s="345"/>
      <c r="L188" s="345"/>
      <c r="M188" s="346">
        <f>SUM(M189:M190)</f>
        <v>11</v>
      </c>
      <c r="N188" s="404"/>
      <c r="O188" s="409"/>
    </row>
    <row r="189" spans="1:15">
      <c r="A189" s="347"/>
      <c r="B189" s="347"/>
      <c r="C189" s="348"/>
      <c r="D189" s="421" t="s">
        <v>1345</v>
      </c>
      <c r="E189" s="422"/>
      <c r="F189" s="423">
        <v>11</v>
      </c>
      <c r="G189" s="352"/>
      <c r="H189" s="353"/>
      <c r="I189" s="353"/>
      <c r="J189" s="353"/>
      <c r="K189" s="353"/>
      <c r="L189" s="353"/>
      <c r="M189" s="353">
        <f>F189</f>
        <v>11</v>
      </c>
      <c r="N189" s="405"/>
      <c r="O189" s="352"/>
    </row>
    <row r="190" spans="1:15">
      <c r="A190" s="347"/>
      <c r="B190" s="347"/>
      <c r="C190" s="348"/>
      <c r="D190" s="439"/>
      <c r="E190" s="440"/>
      <c r="F190" s="441"/>
      <c r="G190" s="352"/>
      <c r="H190" s="353"/>
      <c r="I190" s="353"/>
      <c r="J190" s="353"/>
      <c r="K190" s="353"/>
      <c r="L190" s="353"/>
      <c r="M190" s="353"/>
      <c r="N190" s="406"/>
      <c r="O190" s="359"/>
    </row>
    <row r="191" spans="1:15" ht="63">
      <c r="A191" s="339" t="s">
        <v>1358</v>
      </c>
      <c r="B191" s="339" t="s">
        <v>3</v>
      </c>
      <c r="C191" s="340" t="s">
        <v>1359</v>
      </c>
      <c r="D191" s="436" t="s">
        <v>1360</v>
      </c>
      <c r="E191" s="437" t="s">
        <v>167</v>
      </c>
      <c r="F191" s="438"/>
      <c r="G191" s="344"/>
      <c r="H191" s="345"/>
      <c r="I191" s="345"/>
      <c r="J191" s="345"/>
      <c r="K191" s="345"/>
      <c r="L191" s="345"/>
      <c r="M191" s="346">
        <f>SUM(M192:M193)</f>
        <v>26</v>
      </c>
      <c r="N191" s="404"/>
      <c r="O191" s="409"/>
    </row>
    <row r="192" spans="1:15">
      <c r="A192" s="347"/>
      <c r="B192" s="347"/>
      <c r="C192" s="348"/>
      <c r="D192" s="421" t="s">
        <v>1345</v>
      </c>
      <c r="E192" s="422"/>
      <c r="F192" s="423">
        <v>26</v>
      </c>
      <c r="G192" s="352"/>
      <c r="H192" s="353"/>
      <c r="I192" s="353"/>
      <c r="J192" s="353"/>
      <c r="K192" s="353"/>
      <c r="L192" s="353"/>
      <c r="M192" s="353">
        <f>F192</f>
        <v>26</v>
      </c>
      <c r="N192" s="405"/>
      <c r="O192" s="352"/>
    </row>
    <row r="193" spans="1:15">
      <c r="A193" s="347"/>
      <c r="B193" s="347"/>
      <c r="C193" s="348"/>
      <c r="D193" s="439"/>
      <c r="E193" s="440"/>
      <c r="F193" s="441"/>
      <c r="G193" s="352"/>
      <c r="H193" s="353"/>
      <c r="I193" s="353"/>
      <c r="J193" s="353"/>
      <c r="K193" s="353"/>
      <c r="L193" s="353"/>
      <c r="M193" s="353"/>
      <c r="N193" s="406"/>
      <c r="O193" s="359"/>
    </row>
    <row r="194" spans="1:15" ht="63">
      <c r="A194" s="339" t="s">
        <v>1361</v>
      </c>
      <c r="B194" s="339" t="s">
        <v>3</v>
      </c>
      <c r="C194" s="340" t="s">
        <v>1362</v>
      </c>
      <c r="D194" s="436" t="s">
        <v>1363</v>
      </c>
      <c r="E194" s="437" t="s">
        <v>167</v>
      </c>
      <c r="F194" s="438"/>
      <c r="G194" s="344"/>
      <c r="H194" s="345"/>
      <c r="I194" s="345"/>
      <c r="J194" s="345"/>
      <c r="K194" s="345"/>
      <c r="L194" s="345"/>
      <c r="M194" s="346">
        <f>SUM(M195:M196)</f>
        <v>74</v>
      </c>
      <c r="N194" s="404"/>
      <c r="O194" s="409"/>
    </row>
    <row r="195" spans="1:15">
      <c r="A195" s="347"/>
      <c r="B195" s="347"/>
      <c r="C195" s="348"/>
      <c r="D195" s="421" t="s">
        <v>1345</v>
      </c>
      <c r="E195" s="422"/>
      <c r="F195" s="423">
        <v>74</v>
      </c>
      <c r="G195" s="352"/>
      <c r="H195" s="353"/>
      <c r="I195" s="353"/>
      <c r="J195" s="353"/>
      <c r="K195" s="353"/>
      <c r="L195" s="353"/>
      <c r="M195" s="353">
        <f>F195</f>
        <v>74</v>
      </c>
      <c r="N195" s="405"/>
      <c r="O195" s="352"/>
    </row>
    <row r="196" spans="1:15">
      <c r="A196" s="347"/>
      <c r="B196" s="347"/>
      <c r="C196" s="348"/>
      <c r="D196" s="439"/>
      <c r="E196" s="440"/>
      <c r="F196" s="441"/>
      <c r="G196" s="352"/>
      <c r="H196" s="353"/>
      <c r="I196" s="353"/>
      <c r="J196" s="353"/>
      <c r="K196" s="353"/>
      <c r="L196" s="353"/>
      <c r="M196" s="353"/>
      <c r="N196" s="406"/>
      <c r="O196" s="359"/>
    </row>
    <row r="197" spans="1:15" ht="63">
      <c r="A197" s="339" t="s">
        <v>1364</v>
      </c>
      <c r="B197" s="339" t="s">
        <v>4</v>
      </c>
      <c r="C197" s="340" t="s">
        <v>1365</v>
      </c>
      <c r="D197" s="436" t="s">
        <v>1366</v>
      </c>
      <c r="E197" s="437" t="s">
        <v>167</v>
      </c>
      <c r="F197" s="438"/>
      <c r="G197" s="344"/>
      <c r="H197" s="345"/>
      <c r="I197" s="345"/>
      <c r="J197" s="345"/>
      <c r="K197" s="345"/>
      <c r="L197" s="345"/>
      <c r="M197" s="346">
        <f>SUM(M198:M199)</f>
        <v>2</v>
      </c>
      <c r="N197" s="404"/>
      <c r="O197" s="409"/>
    </row>
    <row r="198" spans="1:15">
      <c r="A198" s="347"/>
      <c r="B198" s="347"/>
      <c r="C198" s="348"/>
      <c r="D198" s="421" t="s">
        <v>1345</v>
      </c>
      <c r="E198" s="422"/>
      <c r="F198" s="423">
        <v>2</v>
      </c>
      <c r="G198" s="352"/>
      <c r="H198" s="353"/>
      <c r="I198" s="353"/>
      <c r="J198" s="353"/>
      <c r="K198" s="353"/>
      <c r="L198" s="353"/>
      <c r="M198" s="353">
        <f>F198</f>
        <v>2</v>
      </c>
      <c r="N198" s="405"/>
      <c r="O198" s="352"/>
    </row>
    <row r="199" spans="1:15">
      <c r="A199" s="347"/>
      <c r="B199" s="347"/>
      <c r="C199" s="348"/>
      <c r="D199" s="439"/>
      <c r="E199" s="440"/>
      <c r="F199" s="441"/>
      <c r="G199" s="352"/>
      <c r="H199" s="353"/>
      <c r="I199" s="353"/>
      <c r="J199" s="353"/>
      <c r="K199" s="353"/>
      <c r="L199" s="353"/>
      <c r="M199" s="353"/>
      <c r="N199" s="406"/>
      <c r="O199" s="359"/>
    </row>
    <row r="200" spans="1:15" ht="31.5">
      <c r="A200" s="339" t="s">
        <v>1367</v>
      </c>
      <c r="B200" s="339" t="s">
        <v>2</v>
      </c>
      <c r="C200" s="340">
        <v>98111</v>
      </c>
      <c r="D200" s="436" t="s">
        <v>1368</v>
      </c>
      <c r="E200" s="437" t="s">
        <v>167</v>
      </c>
      <c r="F200" s="438"/>
      <c r="G200" s="344"/>
      <c r="H200" s="345"/>
      <c r="I200" s="345"/>
      <c r="J200" s="345"/>
      <c r="K200" s="345"/>
      <c r="L200" s="345"/>
      <c r="M200" s="346">
        <f>SUM(M201:M202)</f>
        <v>88</v>
      </c>
      <c r="N200" s="404"/>
      <c r="O200" s="409"/>
    </row>
    <row r="201" spans="1:15">
      <c r="A201" s="347"/>
      <c r="B201" s="347"/>
      <c r="C201" s="348"/>
      <c r="D201" s="421" t="s">
        <v>1345</v>
      </c>
      <c r="E201" s="422"/>
      <c r="F201" s="423">
        <v>88</v>
      </c>
      <c r="G201" s="352"/>
      <c r="H201" s="353"/>
      <c r="I201" s="353"/>
      <c r="J201" s="353"/>
      <c r="K201" s="353"/>
      <c r="L201" s="353"/>
      <c r="M201" s="353">
        <f>F201</f>
        <v>88</v>
      </c>
      <c r="N201" s="405"/>
      <c r="O201" s="352"/>
    </row>
    <row r="202" spans="1:15">
      <c r="A202" s="347"/>
      <c r="B202" s="347"/>
      <c r="C202" s="348"/>
      <c r="D202" s="439"/>
      <c r="E202" s="440"/>
      <c r="F202" s="441"/>
      <c r="G202" s="352"/>
      <c r="H202" s="353"/>
      <c r="I202" s="353"/>
      <c r="J202" s="353"/>
      <c r="K202" s="353"/>
      <c r="L202" s="353"/>
      <c r="M202" s="353"/>
      <c r="N202" s="406"/>
      <c r="O202" s="359"/>
    </row>
    <row r="203" spans="1:15" ht="31.5">
      <c r="A203" s="339" t="s">
        <v>1369</v>
      </c>
      <c r="B203" s="339" t="s">
        <v>3</v>
      </c>
      <c r="C203" s="340" t="s">
        <v>1370</v>
      </c>
      <c r="D203" s="436" t="s">
        <v>1371</v>
      </c>
      <c r="E203" s="437" t="s">
        <v>167</v>
      </c>
      <c r="F203" s="438"/>
      <c r="G203" s="344"/>
      <c r="H203" s="345"/>
      <c r="I203" s="345"/>
      <c r="J203" s="345"/>
      <c r="K203" s="345"/>
      <c r="L203" s="345"/>
      <c r="M203" s="346">
        <f>SUM(M204:M205)</f>
        <v>26</v>
      </c>
      <c r="N203" s="404"/>
      <c r="O203" s="409"/>
    </row>
    <row r="204" spans="1:15">
      <c r="A204" s="347"/>
      <c r="B204" s="347"/>
      <c r="C204" s="348"/>
      <c r="D204" s="421" t="s">
        <v>1345</v>
      </c>
      <c r="E204" s="422"/>
      <c r="F204" s="423">
        <v>26</v>
      </c>
      <c r="G204" s="352"/>
      <c r="H204" s="353"/>
      <c r="I204" s="353"/>
      <c r="J204" s="353"/>
      <c r="K204" s="353"/>
      <c r="L204" s="353"/>
      <c r="M204" s="353">
        <f>F204</f>
        <v>26</v>
      </c>
      <c r="N204" s="405"/>
      <c r="O204" s="352"/>
    </row>
    <row r="205" spans="1:15">
      <c r="A205" s="347"/>
      <c r="B205" s="347"/>
      <c r="C205" s="348"/>
      <c r="D205" s="439"/>
      <c r="E205" s="440"/>
      <c r="F205" s="441"/>
      <c r="G205" s="352"/>
      <c r="H205" s="353"/>
      <c r="I205" s="353"/>
      <c r="J205" s="353"/>
      <c r="K205" s="353"/>
      <c r="L205" s="353"/>
      <c r="M205" s="353"/>
      <c r="N205" s="406"/>
      <c r="O205" s="359"/>
    </row>
    <row r="206" spans="1:15">
      <c r="A206" s="339" t="s">
        <v>1372</v>
      </c>
      <c r="B206" s="339" t="s">
        <v>160</v>
      </c>
      <c r="C206" s="340" t="s">
        <v>1373</v>
      </c>
      <c r="D206" s="436" t="s">
        <v>1374</v>
      </c>
      <c r="E206" s="437" t="s">
        <v>167</v>
      </c>
      <c r="F206" s="438"/>
      <c r="G206" s="344"/>
      <c r="H206" s="345"/>
      <c r="I206" s="345"/>
      <c r="J206" s="345"/>
      <c r="K206" s="345"/>
      <c r="L206" s="345"/>
      <c r="M206" s="346">
        <f>SUM(M207:M208)</f>
        <v>1</v>
      </c>
      <c r="N206" s="404"/>
      <c r="O206" s="409"/>
    </row>
    <row r="207" spans="1:15">
      <c r="A207" s="347"/>
      <c r="B207" s="347"/>
      <c r="C207" s="348"/>
      <c r="D207" s="421" t="s">
        <v>1345</v>
      </c>
      <c r="E207" s="422"/>
      <c r="F207" s="423">
        <v>1</v>
      </c>
      <c r="G207" s="352"/>
      <c r="H207" s="353"/>
      <c r="I207" s="353"/>
      <c r="J207" s="353"/>
      <c r="K207" s="353"/>
      <c r="L207" s="353"/>
      <c r="M207" s="353">
        <f>F207</f>
        <v>1</v>
      </c>
      <c r="N207" s="405"/>
      <c r="O207" s="352"/>
    </row>
    <row r="208" spans="1:15">
      <c r="A208" s="347"/>
      <c r="B208" s="347"/>
      <c r="C208" s="348"/>
      <c r="D208" s="439"/>
      <c r="E208" s="440"/>
      <c r="F208" s="441"/>
      <c r="G208" s="352"/>
      <c r="H208" s="353"/>
      <c r="I208" s="353"/>
      <c r="J208" s="353"/>
      <c r="K208" s="353"/>
      <c r="L208" s="353"/>
      <c r="M208" s="353"/>
      <c r="N208" s="406"/>
      <c r="O208" s="359"/>
    </row>
    <row r="209" spans="1:15">
      <c r="A209" s="339" t="s">
        <v>1375</v>
      </c>
      <c r="B209" s="339" t="s">
        <v>160</v>
      </c>
      <c r="C209" s="340" t="s">
        <v>1376</v>
      </c>
      <c r="D209" s="436" t="s">
        <v>1377</v>
      </c>
      <c r="E209" s="437" t="s">
        <v>167</v>
      </c>
      <c r="F209" s="438"/>
      <c r="G209" s="344"/>
      <c r="H209" s="345"/>
      <c r="I209" s="345"/>
      <c r="J209" s="345"/>
      <c r="K209" s="345"/>
      <c r="L209" s="345"/>
      <c r="M209" s="346">
        <f>SUM(M210:M211)</f>
        <v>1</v>
      </c>
      <c r="N209" s="404"/>
      <c r="O209" s="409"/>
    </row>
    <row r="210" spans="1:15">
      <c r="A210" s="347"/>
      <c r="B210" s="347"/>
      <c r="C210" s="348"/>
      <c r="D210" s="421" t="s">
        <v>1345</v>
      </c>
      <c r="E210" s="422"/>
      <c r="F210" s="423">
        <v>1</v>
      </c>
      <c r="G210" s="352"/>
      <c r="H210" s="353"/>
      <c r="I210" s="353"/>
      <c r="J210" s="353"/>
      <c r="K210" s="353"/>
      <c r="L210" s="353"/>
      <c r="M210" s="353">
        <f>F210</f>
        <v>1</v>
      </c>
      <c r="N210" s="405"/>
      <c r="O210" s="352"/>
    </row>
    <row r="211" spans="1:15">
      <c r="A211" s="347"/>
      <c r="B211" s="347"/>
      <c r="C211" s="348"/>
      <c r="D211" s="439"/>
      <c r="E211" s="440"/>
      <c r="F211" s="441"/>
      <c r="G211" s="352"/>
      <c r="H211" s="353"/>
      <c r="I211" s="353"/>
      <c r="J211" s="353"/>
      <c r="K211" s="353"/>
      <c r="L211" s="353"/>
      <c r="M211" s="353"/>
      <c r="N211" s="406"/>
      <c r="O211" s="359"/>
    </row>
    <row r="212" spans="1:15" ht="31.5">
      <c r="A212" s="339" t="s">
        <v>1378</v>
      </c>
      <c r="B212" s="339" t="s">
        <v>3</v>
      </c>
      <c r="C212" s="340" t="s">
        <v>1379</v>
      </c>
      <c r="D212" s="436" t="s">
        <v>1380</v>
      </c>
      <c r="E212" s="437" t="s">
        <v>180</v>
      </c>
      <c r="F212" s="438"/>
      <c r="G212" s="344"/>
      <c r="H212" s="345"/>
      <c r="I212" s="345"/>
      <c r="J212" s="345"/>
      <c r="K212" s="345"/>
      <c r="L212" s="345"/>
      <c r="M212" s="346">
        <f>SUM(M213:M214)</f>
        <v>633</v>
      </c>
      <c r="N212" s="404"/>
      <c r="O212" s="409"/>
    </row>
    <row r="213" spans="1:15">
      <c r="A213" s="347"/>
      <c r="B213" s="347"/>
      <c r="C213" s="348"/>
      <c r="D213" s="421" t="s">
        <v>1345</v>
      </c>
      <c r="E213" s="422"/>
      <c r="F213" s="423">
        <v>633</v>
      </c>
      <c r="G213" s="352"/>
      <c r="H213" s="353"/>
      <c r="I213" s="353"/>
      <c r="J213" s="353"/>
      <c r="K213" s="353"/>
      <c r="L213" s="353"/>
      <c r="M213" s="353">
        <f>F213</f>
        <v>633</v>
      </c>
      <c r="N213" s="405"/>
      <c r="O213" s="352"/>
    </row>
    <row r="214" spans="1:15">
      <c r="A214" s="347"/>
      <c r="B214" s="347"/>
      <c r="C214" s="348"/>
      <c r="D214" s="439"/>
      <c r="E214" s="440"/>
      <c r="F214" s="441"/>
      <c r="G214" s="352"/>
      <c r="H214" s="353"/>
      <c r="I214" s="353"/>
      <c r="J214" s="353"/>
      <c r="K214" s="353"/>
      <c r="L214" s="353"/>
      <c r="M214" s="353"/>
      <c r="N214" s="406"/>
      <c r="O214" s="359"/>
    </row>
    <row r="215" spans="1:15" ht="31.5">
      <c r="A215" s="339" t="s">
        <v>1381</v>
      </c>
      <c r="B215" s="339" t="s">
        <v>3</v>
      </c>
      <c r="C215" s="340" t="s">
        <v>1382</v>
      </c>
      <c r="D215" s="436" t="s">
        <v>1383</v>
      </c>
      <c r="E215" s="437" t="s">
        <v>180</v>
      </c>
      <c r="F215" s="438"/>
      <c r="G215" s="344"/>
      <c r="H215" s="345"/>
      <c r="I215" s="345"/>
      <c r="J215" s="345"/>
      <c r="K215" s="345"/>
      <c r="L215" s="345"/>
      <c r="M215" s="346">
        <f>SUM(M216:M217)</f>
        <v>145</v>
      </c>
      <c r="N215" s="404"/>
      <c r="O215" s="409"/>
    </row>
    <row r="216" spans="1:15">
      <c r="A216" s="347"/>
      <c r="B216" s="347"/>
      <c r="C216" s="348"/>
      <c r="D216" s="421" t="s">
        <v>1345</v>
      </c>
      <c r="E216" s="422"/>
      <c r="F216" s="423">
        <v>145</v>
      </c>
      <c r="G216" s="352"/>
      <c r="H216" s="353"/>
      <c r="I216" s="353"/>
      <c r="J216" s="353"/>
      <c r="K216" s="353"/>
      <c r="L216" s="353"/>
      <c r="M216" s="353">
        <f>F216</f>
        <v>145</v>
      </c>
      <c r="N216" s="405"/>
      <c r="O216" s="352"/>
    </row>
    <row r="217" spans="1:15">
      <c r="A217" s="347"/>
      <c r="B217" s="347"/>
      <c r="C217" s="348"/>
      <c r="D217" s="439"/>
      <c r="E217" s="440"/>
      <c r="F217" s="441"/>
      <c r="G217" s="352"/>
      <c r="H217" s="353"/>
      <c r="I217" s="353"/>
      <c r="J217" s="353"/>
      <c r="K217" s="353"/>
      <c r="L217" s="353"/>
      <c r="M217" s="353"/>
      <c r="N217" s="406"/>
      <c r="O217" s="359"/>
    </row>
    <row r="218" spans="1:15" ht="31.5">
      <c r="A218" s="339" t="s">
        <v>1384</v>
      </c>
      <c r="B218" s="339" t="s">
        <v>3</v>
      </c>
      <c r="C218" s="340" t="s">
        <v>1385</v>
      </c>
      <c r="D218" s="436" t="s">
        <v>1386</v>
      </c>
      <c r="E218" s="437" t="s">
        <v>180</v>
      </c>
      <c r="F218" s="438"/>
      <c r="G218" s="344"/>
      <c r="H218" s="345"/>
      <c r="I218" s="345"/>
      <c r="J218" s="345"/>
      <c r="K218" s="345"/>
      <c r="L218" s="345"/>
      <c r="M218" s="346">
        <f>SUM(M219:M220)</f>
        <v>5</v>
      </c>
      <c r="N218" s="404"/>
      <c r="O218" s="409"/>
    </row>
    <row r="219" spans="1:15">
      <c r="A219" s="347"/>
      <c r="B219" s="347"/>
      <c r="C219" s="348"/>
      <c r="D219" s="421" t="s">
        <v>1345</v>
      </c>
      <c r="E219" s="422"/>
      <c r="F219" s="423">
        <v>5</v>
      </c>
      <c r="G219" s="352"/>
      <c r="H219" s="353"/>
      <c r="I219" s="353"/>
      <c r="J219" s="353"/>
      <c r="K219" s="353"/>
      <c r="L219" s="353"/>
      <c r="M219" s="353">
        <f>F219</f>
        <v>5</v>
      </c>
      <c r="N219" s="405"/>
      <c r="O219" s="352"/>
    </row>
    <row r="220" spans="1:15">
      <c r="A220" s="347"/>
      <c r="B220" s="347"/>
      <c r="C220" s="348"/>
      <c r="D220" s="439"/>
      <c r="E220" s="440"/>
      <c r="F220" s="441"/>
      <c r="G220" s="352"/>
      <c r="H220" s="353"/>
      <c r="I220" s="353"/>
      <c r="J220" s="353"/>
      <c r="K220" s="353"/>
      <c r="L220" s="353"/>
      <c r="M220" s="353"/>
      <c r="N220" s="406"/>
      <c r="O220" s="359"/>
    </row>
    <row r="221" spans="1:15" ht="31.5">
      <c r="A221" s="339" t="s">
        <v>1387</v>
      </c>
      <c r="B221" s="339" t="s">
        <v>3</v>
      </c>
      <c r="C221" s="340" t="s">
        <v>232</v>
      </c>
      <c r="D221" s="436" t="s">
        <v>233</v>
      </c>
      <c r="E221" s="437" t="s">
        <v>167</v>
      </c>
      <c r="F221" s="438"/>
      <c r="G221" s="344"/>
      <c r="H221" s="345"/>
      <c r="I221" s="345"/>
      <c r="J221" s="345"/>
      <c r="K221" s="345"/>
      <c r="L221" s="345"/>
      <c r="M221" s="346">
        <f>SUM(M222:M223)</f>
        <v>2</v>
      </c>
      <c r="N221" s="404"/>
      <c r="O221" s="409"/>
    </row>
    <row r="222" spans="1:15">
      <c r="A222" s="347"/>
      <c r="B222" s="347"/>
      <c r="C222" s="348"/>
      <c r="D222" s="421" t="s">
        <v>1345</v>
      </c>
      <c r="E222" s="422"/>
      <c r="F222" s="423">
        <v>2</v>
      </c>
      <c r="G222" s="352"/>
      <c r="H222" s="353"/>
      <c r="I222" s="353"/>
      <c r="J222" s="353"/>
      <c r="K222" s="353"/>
      <c r="L222" s="353"/>
      <c r="M222" s="353">
        <f>F222</f>
        <v>2</v>
      </c>
      <c r="N222" s="405"/>
      <c r="O222" s="352"/>
    </row>
    <row r="223" spans="1:15">
      <c r="A223" s="347"/>
      <c r="B223" s="347"/>
      <c r="C223" s="348"/>
      <c r="D223" s="439"/>
      <c r="E223" s="440"/>
      <c r="F223" s="441"/>
      <c r="G223" s="352"/>
      <c r="H223" s="353"/>
      <c r="I223" s="353"/>
      <c r="J223" s="353"/>
      <c r="K223" s="353"/>
      <c r="L223" s="353"/>
      <c r="M223" s="353"/>
      <c r="N223" s="406"/>
      <c r="O223" s="359"/>
    </row>
    <row r="224" spans="1:15">
      <c r="A224" s="339" t="s">
        <v>1388</v>
      </c>
      <c r="B224" s="339" t="s">
        <v>3</v>
      </c>
      <c r="C224" s="340" t="s">
        <v>930</v>
      </c>
      <c r="D224" s="436" t="s">
        <v>931</v>
      </c>
      <c r="E224" s="437" t="s">
        <v>167</v>
      </c>
      <c r="F224" s="438"/>
      <c r="G224" s="344"/>
      <c r="H224" s="345"/>
      <c r="I224" s="345"/>
      <c r="J224" s="345"/>
      <c r="K224" s="345"/>
      <c r="L224" s="345"/>
      <c r="M224" s="346">
        <f>SUM(M225:M226)</f>
        <v>4</v>
      </c>
      <c r="N224" s="404"/>
      <c r="O224" s="409"/>
    </row>
    <row r="225" spans="1:15">
      <c r="A225" s="347"/>
      <c r="B225" s="347"/>
      <c r="C225" s="348"/>
      <c r="D225" s="421" t="s">
        <v>1345</v>
      </c>
      <c r="E225" s="422"/>
      <c r="F225" s="423">
        <v>4</v>
      </c>
      <c r="G225" s="352"/>
      <c r="H225" s="353"/>
      <c r="I225" s="353"/>
      <c r="J225" s="353"/>
      <c r="K225" s="353"/>
      <c r="L225" s="353"/>
      <c r="M225" s="353">
        <f>F225</f>
        <v>4</v>
      </c>
      <c r="N225" s="405"/>
      <c r="O225" s="352"/>
    </row>
    <row r="226" spans="1:15">
      <c r="A226" s="347"/>
      <c r="B226" s="347"/>
      <c r="C226" s="348"/>
      <c r="D226" s="439"/>
      <c r="E226" s="440"/>
      <c r="F226" s="441"/>
      <c r="G226" s="352"/>
      <c r="H226" s="353"/>
      <c r="I226" s="353"/>
      <c r="J226" s="353"/>
      <c r="K226" s="353"/>
      <c r="L226" s="353"/>
      <c r="M226" s="353"/>
      <c r="N226" s="406"/>
      <c r="O226" s="359"/>
    </row>
    <row r="227" spans="1:15" ht="31.5">
      <c r="A227" s="339" t="s">
        <v>1389</v>
      </c>
      <c r="B227" s="339" t="s">
        <v>3</v>
      </c>
      <c r="C227" s="340" t="s">
        <v>226</v>
      </c>
      <c r="D227" s="436" t="s">
        <v>227</v>
      </c>
      <c r="E227" s="437" t="s">
        <v>167</v>
      </c>
      <c r="F227" s="438"/>
      <c r="G227" s="344"/>
      <c r="H227" s="345"/>
      <c r="I227" s="345"/>
      <c r="J227" s="345"/>
      <c r="K227" s="345"/>
      <c r="L227" s="345"/>
      <c r="M227" s="346">
        <f>SUM(M228:M229)</f>
        <v>2</v>
      </c>
      <c r="N227" s="404"/>
      <c r="O227" s="409"/>
    </row>
    <row r="228" spans="1:15">
      <c r="A228" s="347"/>
      <c r="B228" s="347"/>
      <c r="C228" s="348"/>
      <c r="D228" s="421" t="s">
        <v>1345</v>
      </c>
      <c r="E228" s="422"/>
      <c r="F228" s="423">
        <v>2</v>
      </c>
      <c r="G228" s="352"/>
      <c r="H228" s="353"/>
      <c r="I228" s="353"/>
      <c r="J228" s="353"/>
      <c r="K228" s="353"/>
      <c r="L228" s="353"/>
      <c r="M228" s="353">
        <f>F228</f>
        <v>2</v>
      </c>
      <c r="N228" s="405"/>
      <c r="O228" s="352"/>
    </row>
    <row r="229" spans="1:15">
      <c r="A229" s="347"/>
      <c r="B229" s="347"/>
      <c r="C229" s="348"/>
      <c r="D229" s="439"/>
      <c r="E229" s="440"/>
      <c r="F229" s="441"/>
      <c r="G229" s="352"/>
      <c r="H229" s="353"/>
      <c r="I229" s="353"/>
      <c r="J229" s="353"/>
      <c r="K229" s="353"/>
      <c r="L229" s="353"/>
      <c r="M229" s="353"/>
      <c r="N229" s="406"/>
      <c r="O229" s="359"/>
    </row>
    <row r="230" spans="1:15">
      <c r="A230" s="319"/>
      <c r="B230" s="320"/>
      <c r="C230" s="321"/>
      <c r="D230" s="322"/>
      <c r="E230" s="320"/>
      <c r="F230" s="323"/>
      <c r="G230" s="324"/>
      <c r="H230" s="324"/>
      <c r="I230" s="324"/>
      <c r="J230" s="324"/>
      <c r="K230" s="324"/>
      <c r="L230" s="324"/>
      <c r="M230" s="324"/>
      <c r="N230" s="325"/>
      <c r="O230" s="326"/>
    </row>
    <row r="231" spans="1:15">
      <c r="A231" s="301">
        <v>4</v>
      </c>
      <c r="B231" s="302"/>
      <c r="C231" s="303"/>
      <c r="D231" s="304" t="s">
        <v>48</v>
      </c>
      <c r="E231" s="305"/>
      <c r="F231" s="306"/>
      <c r="G231" s="307"/>
      <c r="H231" s="307"/>
      <c r="I231" s="307"/>
      <c r="J231" s="307"/>
      <c r="K231" s="307"/>
      <c r="L231" s="307"/>
      <c r="M231" s="308"/>
      <c r="N231" s="402"/>
      <c r="O231" s="308"/>
    </row>
    <row r="232" spans="1:15">
      <c r="A232" s="311" t="s">
        <v>1390</v>
      </c>
      <c r="B232" s="312"/>
      <c r="C232" s="313"/>
      <c r="D232" s="314" t="s">
        <v>50</v>
      </c>
      <c r="E232" s="327"/>
      <c r="F232" s="328"/>
      <c r="G232" s="329"/>
      <c r="H232" s="329"/>
      <c r="I232" s="329"/>
      <c r="J232" s="329"/>
      <c r="K232" s="329"/>
      <c r="L232" s="329"/>
      <c r="M232" s="330"/>
      <c r="N232" s="407"/>
      <c r="O232" s="330"/>
    </row>
    <row r="233" spans="1:15">
      <c r="A233" s="339" t="s">
        <v>1391</v>
      </c>
      <c r="B233" s="339" t="s">
        <v>160</v>
      </c>
      <c r="C233" s="340" t="s">
        <v>239</v>
      </c>
      <c r="D233" s="341" t="s">
        <v>1392</v>
      </c>
      <c r="E233" s="370" t="s">
        <v>167</v>
      </c>
      <c r="F233" s="365"/>
      <c r="G233" s="344"/>
      <c r="H233" s="345"/>
      <c r="I233" s="345"/>
      <c r="J233" s="345"/>
      <c r="K233" s="345"/>
      <c r="L233" s="345"/>
      <c r="M233" s="346">
        <f>SUM(M234:M236)</f>
        <v>2</v>
      </c>
      <c r="N233" s="404"/>
      <c r="O233" s="409"/>
    </row>
    <row r="234" spans="1:15">
      <c r="A234" s="366"/>
      <c r="B234" s="366"/>
      <c r="C234" s="367"/>
      <c r="D234" s="349" t="s">
        <v>46</v>
      </c>
      <c r="E234" s="361"/>
      <c r="F234" s="363">
        <v>1</v>
      </c>
      <c r="G234" s="352"/>
      <c r="H234" s="353"/>
      <c r="I234" s="353"/>
      <c r="J234" s="353"/>
      <c r="K234" s="353"/>
      <c r="L234" s="353"/>
      <c r="M234" s="353">
        <f>F234</f>
        <v>1</v>
      </c>
      <c r="N234" s="405"/>
      <c r="O234" s="352"/>
    </row>
    <row r="235" spans="1:15">
      <c r="A235" s="366"/>
      <c r="B235" s="366"/>
      <c r="C235" s="367"/>
      <c r="D235" s="349" t="s">
        <v>1345</v>
      </c>
      <c r="E235" s="361"/>
      <c r="F235" s="363">
        <v>1</v>
      </c>
      <c r="G235" s="352"/>
      <c r="H235" s="353"/>
      <c r="I235" s="353"/>
      <c r="J235" s="353"/>
      <c r="K235" s="353"/>
      <c r="L235" s="353"/>
      <c r="M235" s="353">
        <f>F235</f>
        <v>1</v>
      </c>
      <c r="N235" s="405"/>
      <c r="O235" s="352"/>
    </row>
    <row r="236" spans="1:15">
      <c r="A236" s="368"/>
      <c r="B236" s="368"/>
      <c r="C236" s="369"/>
      <c r="D236" s="356"/>
      <c r="E236" s="362"/>
      <c r="F236" s="364"/>
      <c r="G236" s="359"/>
      <c r="H236" s="360"/>
      <c r="I236" s="360"/>
      <c r="J236" s="360"/>
      <c r="K236" s="360"/>
      <c r="L236" s="360"/>
      <c r="M236" s="360"/>
      <c r="N236" s="406"/>
      <c r="O236" s="359"/>
    </row>
    <row r="238" spans="1:15" ht="24" hidden="1" customHeight="1" thickBot="1">
      <c r="B238" s="400">
        <f>COUNTA(B17:B236)</f>
        <v>63</v>
      </c>
      <c r="C238" s="400">
        <f>COUNTA(C17:C236)</f>
        <v>63</v>
      </c>
      <c r="E238" s="400">
        <v>63</v>
      </c>
    </row>
  </sheetData>
  <mergeCells count="28">
    <mergeCell ref="A7:O7"/>
    <mergeCell ref="A2:B2"/>
    <mergeCell ref="C11:F11"/>
    <mergeCell ref="C12:F12"/>
    <mergeCell ref="C13:F13"/>
    <mergeCell ref="A3:B3"/>
    <mergeCell ref="A4:B4"/>
    <mergeCell ref="A5:B5"/>
    <mergeCell ref="C2:H2"/>
    <mergeCell ref="C3:H3"/>
    <mergeCell ref="C4:H4"/>
    <mergeCell ref="C5:H5"/>
    <mergeCell ref="A9:O9"/>
    <mergeCell ref="J10:O10"/>
    <mergeCell ref="J11:O11"/>
    <mergeCell ref="J12:O12"/>
    <mergeCell ref="A16:O16"/>
    <mergeCell ref="N15:O15"/>
    <mergeCell ref="J13:O13"/>
    <mergeCell ref="A10:B10"/>
    <mergeCell ref="A11:B11"/>
    <mergeCell ref="A12:B12"/>
    <mergeCell ref="A13:B13"/>
    <mergeCell ref="C10:F10"/>
    <mergeCell ref="G10:I10"/>
    <mergeCell ref="G11:I11"/>
    <mergeCell ref="G12:I12"/>
    <mergeCell ref="G13:I13"/>
  </mergeCells>
  <phoneticPr fontId="19" type="noConversion"/>
  <printOptions horizontalCentered="1"/>
  <pageMargins left="0.31496062992125984" right="0.31496062992125984" top="0.78740157480314965" bottom="0.78740157480314965" header="0.31496062992125984" footer="0.31496062992125984"/>
  <pageSetup paperSize="9" scale="38" fitToHeight="0" orientation="landscape" r:id="rId1"/>
  <headerFooter>
    <oddFooter>&amp;R&amp;P/&amp;N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77EE-5132-4381-9E80-D6E1A6F94ED6}">
  <sheetPr>
    <pageSetUpPr fitToPage="1"/>
  </sheetPr>
  <dimension ref="A1:O827"/>
  <sheetViews>
    <sheetView showGridLines="0" topLeftCell="A476" zoomScale="85" zoomScaleNormal="85" zoomScaleSheetLayoutView="85" workbookViewId="0">
      <selection activeCell="A12" sqref="A12:B12"/>
    </sheetView>
  </sheetViews>
  <sheetFormatPr defaultColWidth="9.140625" defaultRowHeight="15.75"/>
  <cols>
    <col min="1" max="1" width="13.85546875" style="333" customWidth="1"/>
    <col min="2" max="2" width="15.28515625" style="333" customWidth="1"/>
    <col min="3" max="3" width="15.28515625" style="334" customWidth="1"/>
    <col min="4" max="4" width="97.42578125" style="335" customWidth="1"/>
    <col min="5" max="5" width="10.7109375" style="309" customWidth="1"/>
    <col min="6" max="6" width="13.5703125" style="336" customWidth="1"/>
    <col min="7" max="7" width="8.28515625" style="337" bestFit="1" customWidth="1"/>
    <col min="8" max="8" width="12.85546875" style="337" bestFit="1" customWidth="1"/>
    <col min="9" max="12" width="12" style="337" customWidth="1"/>
    <col min="13" max="13" width="12.5703125" style="337" customWidth="1"/>
    <col min="14" max="14" width="69.28515625" style="338" customWidth="1"/>
    <col min="15" max="15" width="48" style="337" customWidth="1"/>
    <col min="16" max="16384" width="9.140625" style="310"/>
  </cols>
  <sheetData>
    <row r="1" spans="1:15" s="299" customFormat="1" ht="4.5" customHeight="1">
      <c r="A1" s="292"/>
      <c r="B1" s="293"/>
      <c r="C1" s="294"/>
      <c r="D1" s="293"/>
      <c r="E1" s="293"/>
      <c r="F1" s="293"/>
      <c r="G1" s="293"/>
      <c r="H1" s="295"/>
      <c r="I1" s="296"/>
      <c r="J1" s="295"/>
      <c r="K1" s="295"/>
      <c r="L1" s="295"/>
      <c r="M1" s="293"/>
      <c r="N1" s="297"/>
      <c r="O1" s="298"/>
    </row>
    <row r="2" spans="1:15" s="299" customFormat="1" ht="30.75" customHeight="1">
      <c r="A2" s="810" t="s">
        <v>0</v>
      </c>
      <c r="B2" s="811"/>
      <c r="C2" s="734" t="s">
        <v>1</v>
      </c>
      <c r="D2" s="735"/>
      <c r="E2" s="735"/>
      <c r="F2" s="735"/>
      <c r="G2" s="735"/>
      <c r="H2" s="735"/>
      <c r="I2" s="45"/>
      <c r="J2" s="385"/>
      <c r="K2" s="385"/>
      <c r="L2" s="385"/>
      <c r="M2" s="385"/>
      <c r="N2" s="374"/>
      <c r="O2" s="149"/>
    </row>
    <row r="3" spans="1:15" s="299" customFormat="1" ht="30.75" customHeight="1">
      <c r="A3" s="810" t="s">
        <v>5</v>
      </c>
      <c r="B3" s="811"/>
      <c r="C3" s="734" t="s">
        <v>6</v>
      </c>
      <c r="D3" s="735"/>
      <c r="E3" s="735"/>
      <c r="F3" s="735"/>
      <c r="G3" s="735"/>
      <c r="H3" s="735"/>
      <c r="I3" s="386"/>
      <c r="J3" s="386"/>
      <c r="K3" s="384"/>
      <c r="L3" s="384"/>
      <c r="M3" s="384"/>
      <c r="N3" s="387"/>
      <c r="O3" s="24"/>
    </row>
    <row r="4" spans="1:15" s="299" customFormat="1" ht="30.75" customHeight="1">
      <c r="A4" s="810" t="s">
        <v>9</v>
      </c>
      <c r="B4" s="811"/>
      <c r="C4" s="734" t="s">
        <v>10</v>
      </c>
      <c r="D4" s="735"/>
      <c r="E4" s="735"/>
      <c r="F4" s="735"/>
      <c r="G4" s="735"/>
      <c r="H4" s="735"/>
      <c r="I4" s="388"/>
      <c r="J4" s="384"/>
      <c r="K4" s="384"/>
      <c r="L4" s="384"/>
      <c r="M4" s="384"/>
      <c r="N4" s="387"/>
      <c r="O4" s="24"/>
    </row>
    <row r="5" spans="1:15" s="299" customFormat="1" ht="30.75" customHeight="1">
      <c r="A5" s="810" t="s">
        <v>14</v>
      </c>
      <c r="B5" s="811"/>
      <c r="C5" s="745" t="s">
        <v>15</v>
      </c>
      <c r="D5" s="746"/>
      <c r="E5" s="746"/>
      <c r="F5" s="746"/>
      <c r="G5" s="746"/>
      <c r="H5" s="746"/>
      <c r="I5" s="388"/>
      <c r="J5" s="384"/>
      <c r="K5" s="384"/>
      <c r="L5" s="384"/>
      <c r="M5" s="384"/>
      <c r="N5" s="387"/>
      <c r="O5" s="27"/>
    </row>
    <row r="6" spans="1:15" s="299" customFormat="1" ht="4.5" customHeight="1">
      <c r="A6" s="49"/>
      <c r="B6" s="50"/>
      <c r="C6" s="389"/>
      <c r="D6" s="50"/>
      <c r="E6" s="50"/>
      <c r="F6" s="50"/>
      <c r="G6" s="50"/>
      <c r="H6" s="50"/>
      <c r="I6" s="390"/>
      <c r="J6" s="50"/>
      <c r="K6" s="50"/>
      <c r="L6" s="50"/>
      <c r="M6" s="50"/>
      <c r="N6" s="391"/>
      <c r="O6" s="51"/>
    </row>
    <row r="7" spans="1:15" s="299" customFormat="1" ht="34.5" customHeight="1">
      <c r="A7" s="692" t="s">
        <v>1393</v>
      </c>
      <c r="B7" s="693"/>
      <c r="C7" s="693"/>
      <c r="D7" s="693"/>
      <c r="E7" s="693"/>
      <c r="F7" s="693"/>
      <c r="G7" s="693"/>
      <c r="H7" s="693"/>
      <c r="I7" s="693"/>
      <c r="J7" s="693"/>
      <c r="K7" s="693"/>
      <c r="L7" s="693"/>
      <c r="M7" s="693"/>
      <c r="N7" s="693"/>
      <c r="O7" s="694"/>
    </row>
    <row r="8" spans="1:15" s="299" customFormat="1" ht="4.5" customHeight="1">
      <c r="A8" s="49"/>
      <c r="B8" s="50"/>
      <c r="C8" s="389"/>
      <c r="D8" s="50"/>
      <c r="E8" s="50"/>
      <c r="F8" s="50"/>
      <c r="G8" s="50"/>
      <c r="H8" s="50"/>
      <c r="I8" s="390"/>
      <c r="J8" s="50"/>
      <c r="K8" s="50"/>
      <c r="L8" s="50"/>
      <c r="M8" s="50"/>
      <c r="N8" s="391"/>
      <c r="O8" s="51"/>
    </row>
    <row r="9" spans="1:15" s="299" customFormat="1" ht="20.100000000000001" customHeight="1">
      <c r="A9" s="812" t="s">
        <v>17</v>
      </c>
      <c r="B9" s="813"/>
      <c r="C9" s="813"/>
      <c r="D9" s="813"/>
      <c r="E9" s="813"/>
      <c r="F9" s="813"/>
      <c r="G9" s="813"/>
      <c r="H9" s="813"/>
      <c r="I9" s="813"/>
      <c r="J9" s="813"/>
      <c r="K9" s="813"/>
      <c r="L9" s="813"/>
      <c r="M9" s="813"/>
      <c r="N9" s="813"/>
      <c r="O9" s="814"/>
    </row>
    <row r="10" spans="1:15" s="299" customFormat="1" ht="20.100000000000001" customHeight="1">
      <c r="A10" s="709" t="s">
        <v>18</v>
      </c>
      <c r="B10" s="709"/>
      <c r="C10" s="709" t="s">
        <v>19</v>
      </c>
      <c r="D10" s="709"/>
      <c r="E10" s="709"/>
      <c r="F10" s="709"/>
      <c r="G10" s="709" t="s">
        <v>20</v>
      </c>
      <c r="H10" s="709"/>
      <c r="I10" s="709"/>
      <c r="J10" s="709" t="s">
        <v>21</v>
      </c>
      <c r="K10" s="709"/>
      <c r="L10" s="709"/>
      <c r="M10" s="709"/>
      <c r="N10" s="709"/>
      <c r="O10" s="709"/>
    </row>
    <row r="11" spans="1:15" s="299" customFormat="1" ht="20.100000000000001" customHeight="1">
      <c r="A11" s="808" t="s">
        <v>125</v>
      </c>
      <c r="B11" s="808"/>
      <c r="C11" s="808" t="s">
        <v>23</v>
      </c>
      <c r="D11" s="808"/>
      <c r="E11" s="808"/>
      <c r="F11" s="808"/>
      <c r="G11" s="809">
        <v>45427</v>
      </c>
      <c r="H11" s="809"/>
      <c r="I11" s="809"/>
      <c r="J11" s="808" t="s">
        <v>24</v>
      </c>
      <c r="K11" s="808"/>
      <c r="L11" s="808"/>
      <c r="M11" s="808"/>
      <c r="N11" s="808"/>
      <c r="O11" s="808"/>
    </row>
    <row r="12" spans="1:15" s="299" customFormat="1" ht="20.100000000000001" customHeight="1">
      <c r="A12" s="808" t="str">
        <f>'Planilha Resumo'!A12</f>
        <v>R8</v>
      </c>
      <c r="B12" s="808"/>
      <c r="C12" s="808" t="str">
        <f>'Planilha Resumo'!B12</f>
        <v>Atendendo à Comentários</v>
      </c>
      <c r="D12" s="808"/>
      <c r="E12" s="808"/>
      <c r="F12" s="808"/>
      <c r="G12" s="809">
        <f>'Planilha Resumo'!C12</f>
        <v>45496</v>
      </c>
      <c r="H12" s="809"/>
      <c r="I12" s="809"/>
      <c r="J12" s="808" t="str">
        <f>'Planilha Resumo'!E12</f>
        <v>Grazielle Cruz/ Marcelo F. Pereira</v>
      </c>
      <c r="K12" s="808"/>
      <c r="L12" s="808"/>
      <c r="M12" s="808"/>
      <c r="N12" s="808"/>
      <c r="O12" s="808"/>
    </row>
    <row r="13" spans="1:15" s="299" customFormat="1" ht="20.100000000000001" customHeight="1">
      <c r="A13" s="808" t="str">
        <f>'Planilha Resumo'!A13</f>
        <v>R9</v>
      </c>
      <c r="B13" s="808"/>
      <c r="C13" s="808" t="str">
        <f>'Planilha Resumo'!B13</f>
        <v>Atendendo à Comentários</v>
      </c>
      <c r="D13" s="808"/>
      <c r="E13" s="808"/>
      <c r="F13" s="808"/>
      <c r="G13" s="809">
        <f>'Planilha Resumo'!C13</f>
        <v>45504</v>
      </c>
      <c r="H13" s="809"/>
      <c r="I13" s="809"/>
      <c r="J13" s="808" t="str">
        <f>'Planilha Resumo'!E13</f>
        <v>Grazielle Cruz/ Marcelo F. Pereira</v>
      </c>
      <c r="K13" s="808"/>
      <c r="L13" s="808"/>
      <c r="M13" s="808"/>
      <c r="N13" s="808"/>
      <c r="O13" s="808"/>
    </row>
    <row r="14" spans="1:15" s="299" customFormat="1" ht="4.5" customHeight="1">
      <c r="A14" s="49"/>
      <c r="B14" s="50"/>
      <c r="C14" s="389"/>
      <c r="D14" s="50"/>
      <c r="E14" s="50"/>
      <c r="F14" s="50"/>
      <c r="G14" s="50"/>
      <c r="H14" s="50"/>
      <c r="I14" s="390"/>
      <c r="J14" s="50"/>
      <c r="K14" s="50"/>
      <c r="L14" s="50"/>
      <c r="M14" s="50"/>
      <c r="N14" s="391"/>
      <c r="O14" s="51"/>
    </row>
    <row r="15" spans="1:15" s="300" customFormat="1">
      <c r="A15" s="392" t="s">
        <v>131</v>
      </c>
      <c r="B15" s="392" t="s">
        <v>1280</v>
      </c>
      <c r="C15" s="393" t="s">
        <v>131</v>
      </c>
      <c r="D15" s="394" t="s">
        <v>1281</v>
      </c>
      <c r="E15" s="395" t="s">
        <v>127</v>
      </c>
      <c r="F15" s="396" t="s">
        <v>128</v>
      </c>
      <c r="G15" s="397"/>
      <c r="H15" s="398" t="s">
        <v>1282</v>
      </c>
      <c r="I15" s="398" t="s">
        <v>1283</v>
      </c>
      <c r="J15" s="398" t="s">
        <v>1284</v>
      </c>
      <c r="K15" s="398" t="s">
        <v>1285</v>
      </c>
      <c r="L15" s="398" t="s">
        <v>1286</v>
      </c>
      <c r="M15" s="398" t="s">
        <v>1287</v>
      </c>
      <c r="N15" s="806" t="s">
        <v>1288</v>
      </c>
      <c r="O15" s="807"/>
    </row>
    <row r="16" spans="1:15" s="300" customFormat="1" ht="29.25" customHeight="1">
      <c r="A16" s="803" t="s">
        <v>1394</v>
      </c>
      <c r="B16" s="804"/>
      <c r="C16" s="804"/>
      <c r="D16" s="804"/>
      <c r="E16" s="804"/>
      <c r="F16" s="804"/>
      <c r="G16" s="804"/>
      <c r="H16" s="804"/>
      <c r="I16" s="804"/>
      <c r="J16" s="804"/>
      <c r="K16" s="804"/>
      <c r="L16" s="804"/>
      <c r="M16" s="804"/>
      <c r="N16" s="804"/>
      <c r="O16" s="805"/>
    </row>
    <row r="17" spans="1:15">
      <c r="A17" s="301">
        <v>1</v>
      </c>
      <c r="B17" s="302"/>
      <c r="C17" s="303"/>
      <c r="D17" s="304" t="s">
        <v>53</v>
      </c>
      <c r="E17" s="305"/>
      <c r="F17" s="306"/>
      <c r="G17" s="307"/>
      <c r="H17" s="307"/>
      <c r="I17" s="307"/>
      <c r="J17" s="307"/>
      <c r="K17" s="307"/>
      <c r="L17" s="307"/>
      <c r="M17" s="308"/>
      <c r="N17" s="402"/>
      <c r="O17" s="308"/>
    </row>
    <row r="18" spans="1:15">
      <c r="A18" s="311" t="s">
        <v>32</v>
      </c>
      <c r="B18" s="312"/>
      <c r="C18" s="313"/>
      <c r="D18" s="314" t="s">
        <v>55</v>
      </c>
      <c r="E18" s="327"/>
      <c r="F18" s="328"/>
      <c r="G18" s="329"/>
      <c r="H18" s="329"/>
      <c r="I18" s="329"/>
      <c r="J18" s="329"/>
      <c r="K18" s="329"/>
      <c r="L18" s="329"/>
      <c r="M18" s="330"/>
      <c r="N18" s="407"/>
      <c r="O18" s="330"/>
    </row>
    <row r="19" spans="1:15">
      <c r="A19" s="339" t="s">
        <v>35</v>
      </c>
      <c r="B19" s="339" t="s">
        <v>160</v>
      </c>
      <c r="C19" s="340" t="s">
        <v>242</v>
      </c>
      <c r="D19" s="341" t="s">
        <v>243</v>
      </c>
      <c r="E19" s="342" t="s">
        <v>167</v>
      </c>
      <c r="F19" s="343"/>
      <c r="G19" s="344"/>
      <c r="H19" s="345"/>
      <c r="I19" s="345"/>
      <c r="J19" s="345"/>
      <c r="K19" s="345"/>
      <c r="L19" s="345"/>
      <c r="M19" s="346">
        <f>SUM(M20:M21)</f>
        <v>2</v>
      </c>
      <c r="N19" s="408"/>
      <c r="O19" s="409"/>
    </row>
    <row r="20" spans="1:15">
      <c r="A20" s="347"/>
      <c r="B20" s="347"/>
      <c r="C20" s="348"/>
      <c r="D20" s="421" t="s">
        <v>1395</v>
      </c>
      <c r="E20" s="361"/>
      <c r="F20" s="351">
        <v>2</v>
      </c>
      <c r="G20" s="352"/>
      <c r="H20" s="353"/>
      <c r="I20" s="353"/>
      <c r="J20" s="353"/>
      <c r="K20" s="353"/>
      <c r="L20" s="353"/>
      <c r="M20" s="353">
        <f>F20</f>
        <v>2</v>
      </c>
      <c r="N20" s="405"/>
      <c r="O20" s="352"/>
    </row>
    <row r="21" spans="1:15">
      <c r="A21" s="347"/>
      <c r="B21" s="347"/>
      <c r="C21" s="348"/>
      <c r="D21" s="349"/>
      <c r="E21" s="361"/>
      <c r="F21" s="351"/>
      <c r="G21" s="352"/>
      <c r="H21" s="353"/>
      <c r="I21" s="353"/>
      <c r="J21" s="353"/>
      <c r="K21" s="353"/>
      <c r="L21" s="353"/>
      <c r="M21" s="353"/>
      <c r="N21" s="405"/>
      <c r="O21" s="352"/>
    </row>
    <row r="22" spans="1:15">
      <c r="A22" s="339" t="s">
        <v>37</v>
      </c>
      <c r="B22" s="339" t="s">
        <v>160</v>
      </c>
      <c r="C22" s="340" t="s">
        <v>245</v>
      </c>
      <c r="D22" s="341" t="s">
        <v>246</v>
      </c>
      <c r="E22" s="342" t="s">
        <v>167</v>
      </c>
      <c r="F22" s="343"/>
      <c r="G22" s="344"/>
      <c r="H22" s="345"/>
      <c r="I22" s="345"/>
      <c r="J22" s="345"/>
      <c r="K22" s="345"/>
      <c r="L22" s="345"/>
      <c r="M22" s="346">
        <f>SUM(M23:M24)</f>
        <v>2</v>
      </c>
      <c r="N22" s="408"/>
      <c r="O22" s="409"/>
    </row>
    <row r="23" spans="1:15">
      <c r="A23" s="347"/>
      <c r="B23" s="347"/>
      <c r="C23" s="348"/>
      <c r="D23" s="421" t="s">
        <v>51</v>
      </c>
      <c r="E23" s="361"/>
      <c r="F23" s="351">
        <v>2</v>
      </c>
      <c r="G23" s="352"/>
      <c r="H23" s="353"/>
      <c r="I23" s="353"/>
      <c r="J23" s="353"/>
      <c r="K23" s="353"/>
      <c r="L23" s="353"/>
      <c r="M23" s="353">
        <f>F23</f>
        <v>2</v>
      </c>
      <c r="N23" s="405"/>
      <c r="O23" s="352"/>
    </row>
    <row r="24" spans="1:15">
      <c r="A24" s="347"/>
      <c r="B24" s="347"/>
      <c r="C24" s="348"/>
      <c r="D24" s="349"/>
      <c r="E24" s="361"/>
      <c r="F24" s="351"/>
      <c r="G24" s="352"/>
      <c r="H24" s="353"/>
      <c r="I24" s="353"/>
      <c r="J24" s="353"/>
      <c r="K24" s="353"/>
      <c r="L24" s="353"/>
      <c r="M24" s="353"/>
      <c r="N24" s="405"/>
      <c r="O24" s="352"/>
    </row>
    <row r="25" spans="1:15">
      <c r="A25" s="339" t="s">
        <v>1292</v>
      </c>
      <c r="B25" s="339" t="s">
        <v>160</v>
      </c>
      <c r="C25" s="340" t="s">
        <v>248</v>
      </c>
      <c r="D25" s="341" t="s">
        <v>249</v>
      </c>
      <c r="E25" s="342" t="s">
        <v>167</v>
      </c>
      <c r="F25" s="343"/>
      <c r="G25" s="344"/>
      <c r="H25" s="345"/>
      <c r="I25" s="345"/>
      <c r="J25" s="345"/>
      <c r="K25" s="345"/>
      <c r="L25" s="345"/>
      <c r="M25" s="346">
        <f>SUM(M26:M27)</f>
        <v>2</v>
      </c>
      <c r="N25" s="408"/>
      <c r="O25" s="409"/>
    </row>
    <row r="26" spans="1:15">
      <c r="A26" s="347"/>
      <c r="B26" s="347"/>
      <c r="C26" s="348"/>
      <c r="D26" s="421" t="s">
        <v>51</v>
      </c>
      <c r="E26" s="361"/>
      <c r="F26" s="351">
        <v>2</v>
      </c>
      <c r="G26" s="352"/>
      <c r="H26" s="353"/>
      <c r="I26" s="353"/>
      <c r="J26" s="353"/>
      <c r="K26" s="353"/>
      <c r="L26" s="353"/>
      <c r="M26" s="353">
        <f>F26</f>
        <v>2</v>
      </c>
      <c r="N26" s="405"/>
      <c r="O26" s="352"/>
    </row>
    <row r="27" spans="1:15">
      <c r="A27" s="347"/>
      <c r="B27" s="347"/>
      <c r="C27" s="348"/>
      <c r="D27" s="349"/>
      <c r="E27" s="361"/>
      <c r="F27" s="351"/>
      <c r="G27" s="352"/>
      <c r="H27" s="353"/>
      <c r="I27" s="353"/>
      <c r="J27" s="353"/>
      <c r="K27" s="353"/>
      <c r="L27" s="353"/>
      <c r="M27" s="353"/>
      <c r="N27" s="405"/>
      <c r="O27" s="352"/>
    </row>
    <row r="28" spans="1:15" ht="31.5">
      <c r="A28" s="339" t="s">
        <v>1294</v>
      </c>
      <c r="B28" s="339" t="s">
        <v>3</v>
      </c>
      <c r="C28" s="340" t="s">
        <v>251</v>
      </c>
      <c r="D28" s="341" t="s">
        <v>252</v>
      </c>
      <c r="E28" s="342" t="s">
        <v>253</v>
      </c>
      <c r="F28" s="343"/>
      <c r="G28" s="344"/>
      <c r="H28" s="345"/>
      <c r="I28" s="345"/>
      <c r="J28" s="345"/>
      <c r="K28" s="345"/>
      <c r="L28" s="345"/>
      <c r="M28" s="346">
        <f>SUM(M29:M30)</f>
        <v>20</v>
      </c>
      <c r="N28" s="408"/>
      <c r="O28" s="409"/>
    </row>
    <row r="29" spans="1:15">
      <c r="A29" s="347"/>
      <c r="B29" s="347"/>
      <c r="C29" s="348"/>
      <c r="D29" s="421" t="s">
        <v>51</v>
      </c>
      <c r="E29" s="361"/>
      <c r="F29" s="423">
        <v>20</v>
      </c>
      <c r="G29" s="352"/>
      <c r="H29" s="353"/>
      <c r="I29" s="353"/>
      <c r="J29" s="353"/>
      <c r="K29" s="353"/>
      <c r="L29" s="353"/>
      <c r="M29" s="353">
        <f>F29</f>
        <v>20</v>
      </c>
      <c r="N29" s="405"/>
      <c r="O29" s="352"/>
    </row>
    <row r="30" spans="1:15">
      <c r="A30" s="347"/>
      <c r="B30" s="347"/>
      <c r="C30" s="348"/>
      <c r="D30" s="349"/>
      <c r="E30" s="361"/>
      <c r="F30" s="351"/>
      <c r="G30" s="352"/>
      <c r="H30" s="353"/>
      <c r="I30" s="353"/>
      <c r="J30" s="353"/>
      <c r="K30" s="353"/>
      <c r="L30" s="353"/>
      <c r="M30" s="353"/>
      <c r="N30" s="405"/>
      <c r="O30" s="352"/>
    </row>
    <row r="31" spans="1:15">
      <c r="A31" s="339" t="s">
        <v>1396</v>
      </c>
      <c r="B31" s="339" t="s">
        <v>2</v>
      </c>
      <c r="C31" s="340">
        <v>93358</v>
      </c>
      <c r="D31" s="341" t="s">
        <v>255</v>
      </c>
      <c r="E31" s="342" t="s">
        <v>253</v>
      </c>
      <c r="F31" s="343"/>
      <c r="G31" s="344"/>
      <c r="H31" s="345"/>
      <c r="I31" s="345"/>
      <c r="J31" s="345"/>
      <c r="K31" s="345"/>
      <c r="L31" s="345"/>
      <c r="M31" s="346">
        <f>SUM(M32:M33)</f>
        <v>30.16</v>
      </c>
      <c r="N31" s="408"/>
      <c r="O31" s="409"/>
    </row>
    <row r="32" spans="1:15">
      <c r="A32" s="347"/>
      <c r="B32" s="347"/>
      <c r="C32" s="348"/>
      <c r="D32" s="421"/>
      <c r="E32" s="361"/>
      <c r="F32" s="423">
        <f>0.2*3.77*1*4*10</f>
        <v>30.16</v>
      </c>
      <c r="G32" s="352"/>
      <c r="H32" s="353"/>
      <c r="I32" s="353"/>
      <c r="J32" s="353"/>
      <c r="K32" s="353"/>
      <c r="L32" s="353"/>
      <c r="M32" s="353">
        <f>F32</f>
        <v>30.16</v>
      </c>
      <c r="N32" s="405"/>
      <c r="O32" s="352"/>
    </row>
    <row r="33" spans="1:15">
      <c r="A33" s="347"/>
      <c r="B33" s="347"/>
      <c r="C33" s="348"/>
      <c r="D33" s="349"/>
      <c r="E33" s="361"/>
      <c r="F33" s="351"/>
      <c r="G33" s="352"/>
      <c r="H33" s="353"/>
      <c r="I33" s="353"/>
      <c r="J33" s="353"/>
      <c r="K33" s="353"/>
      <c r="L33" s="353"/>
      <c r="M33" s="353"/>
      <c r="N33" s="405"/>
      <c r="O33" s="352"/>
    </row>
    <row r="34" spans="1:15">
      <c r="A34" s="311" t="s">
        <v>39</v>
      </c>
      <c r="B34" s="312"/>
      <c r="C34" s="313"/>
      <c r="D34" s="314" t="s">
        <v>57</v>
      </c>
      <c r="E34" s="327"/>
      <c r="F34" s="328"/>
      <c r="G34" s="329"/>
      <c r="H34" s="329"/>
      <c r="I34" s="329"/>
      <c r="J34" s="329"/>
      <c r="K34" s="329"/>
      <c r="L34" s="329"/>
      <c r="M34" s="330"/>
      <c r="N34" s="407"/>
      <c r="O34" s="330"/>
    </row>
    <row r="35" spans="1:15">
      <c r="A35" s="339" t="s">
        <v>41</v>
      </c>
      <c r="B35" s="339" t="s">
        <v>3</v>
      </c>
      <c r="C35" s="340" t="s">
        <v>257</v>
      </c>
      <c r="D35" s="341" t="s">
        <v>258</v>
      </c>
      <c r="E35" s="342" t="s">
        <v>1397</v>
      </c>
      <c r="F35" s="343"/>
      <c r="G35" s="344"/>
      <c r="H35" s="345"/>
      <c r="I35" s="345"/>
      <c r="J35" s="345"/>
      <c r="K35" s="345"/>
      <c r="L35" s="345"/>
      <c r="M35" s="346">
        <f>SUM(M36:M37)</f>
        <v>80</v>
      </c>
      <c r="N35" s="408"/>
      <c r="O35" s="409"/>
    </row>
    <row r="36" spans="1:15">
      <c r="A36" s="347"/>
      <c r="B36" s="347"/>
      <c r="C36" s="348"/>
      <c r="D36" s="421" t="s">
        <v>51</v>
      </c>
      <c r="E36" s="361"/>
      <c r="F36" s="423">
        <v>80</v>
      </c>
      <c r="G36" s="352"/>
      <c r="H36" s="353"/>
      <c r="I36" s="353"/>
      <c r="J36" s="353"/>
      <c r="K36" s="353"/>
      <c r="L36" s="353"/>
      <c r="M36" s="353">
        <f>F36</f>
        <v>80</v>
      </c>
      <c r="N36" s="405"/>
      <c r="O36" s="352"/>
    </row>
    <row r="37" spans="1:15">
      <c r="A37" s="347"/>
      <c r="B37" s="347"/>
      <c r="C37" s="348"/>
      <c r="D37" s="349"/>
      <c r="E37" s="361"/>
      <c r="F37" s="351"/>
      <c r="G37" s="352"/>
      <c r="H37" s="353"/>
      <c r="I37" s="353"/>
      <c r="J37" s="353"/>
      <c r="K37" s="353"/>
      <c r="L37" s="353"/>
      <c r="M37" s="353"/>
      <c r="N37" s="405"/>
      <c r="O37" s="352"/>
    </row>
    <row r="38" spans="1:15">
      <c r="A38" s="311" t="s">
        <v>52</v>
      </c>
      <c r="B38" s="312"/>
      <c r="C38" s="313"/>
      <c r="D38" s="314" t="str">
        <f>'Planilha Orçamentária'!D82</f>
        <v>Instalação provisória de Torres de Resfriamento</v>
      </c>
      <c r="E38" s="327"/>
      <c r="F38" s="328"/>
      <c r="G38" s="329"/>
      <c r="H38" s="329"/>
      <c r="I38" s="329"/>
      <c r="J38" s="329"/>
      <c r="K38" s="329"/>
      <c r="L38" s="329"/>
      <c r="M38" s="330"/>
      <c r="N38" s="407"/>
      <c r="O38" s="352"/>
    </row>
    <row r="39" spans="1:15" ht="31.5">
      <c r="A39" s="339" t="s">
        <v>54</v>
      </c>
      <c r="B39" s="341"/>
      <c r="C39" s="341"/>
      <c r="D39" s="341" t="str">
        <f>'Planilha Orçamentária'!D83</f>
        <v>TRANSPORTE COM CAMINHÃO CARROCERIA COM GUINDAUTO (MUNCK),  MOMENTO MÁXIMO DE CARGA 11,7 TM, EM VIA INTERNA (DENTRO DO CANTEIRO - UNIDADE: TXKM). AF_07/2020</v>
      </c>
      <c r="E39" s="341" t="str">
        <f>'Planilha Orçamentária'!E83</f>
        <v>TxKM</v>
      </c>
      <c r="F39" s="343"/>
      <c r="G39" s="344"/>
      <c r="H39" s="345"/>
      <c r="I39" s="345"/>
      <c r="J39" s="345"/>
      <c r="K39" s="345"/>
      <c r="L39" s="345"/>
      <c r="M39" s="346">
        <f>SUM(M40:M41)</f>
        <v>6</v>
      </c>
      <c r="N39" s="408"/>
      <c r="O39" s="409"/>
    </row>
    <row r="40" spans="1:15">
      <c r="A40" s="347"/>
      <c r="B40" s="347"/>
      <c r="C40" s="348"/>
      <c r="D40" s="421" t="s">
        <v>51</v>
      </c>
      <c r="E40" s="361"/>
      <c r="F40" s="423">
        <v>6</v>
      </c>
      <c r="G40" s="352"/>
      <c r="H40" s="353"/>
      <c r="I40" s="353"/>
      <c r="J40" s="353"/>
      <c r="K40" s="353"/>
      <c r="L40" s="353"/>
      <c r="M40" s="353">
        <f>F40</f>
        <v>6</v>
      </c>
      <c r="N40" s="405"/>
      <c r="O40" s="352"/>
    </row>
    <row r="41" spans="1:15">
      <c r="A41" s="347"/>
      <c r="B41" s="347"/>
      <c r="C41" s="348"/>
      <c r="D41" s="349"/>
      <c r="E41" s="361"/>
      <c r="F41" s="351"/>
      <c r="G41" s="352"/>
      <c r="H41" s="353"/>
      <c r="I41" s="353"/>
      <c r="J41" s="353"/>
      <c r="K41" s="353"/>
      <c r="L41" s="353"/>
      <c r="M41" s="353"/>
      <c r="N41" s="405"/>
      <c r="O41" s="352"/>
    </row>
    <row r="42" spans="1:15" ht="31.5">
      <c r="A42" s="339" t="s">
        <v>56</v>
      </c>
      <c r="B42" s="341"/>
      <c r="C42" s="341"/>
      <c r="D42" s="341" t="str">
        <f>'Planilha Orçamentária'!D84</f>
        <v>Tubo em PVC, cor marron para conexões soldáveis, Linha PBS conforme NBR 5648 - diâmetro = 8" classe de pressão 12. Ref.: Tigre ou equivalente</v>
      </c>
      <c r="E42" s="341" t="str">
        <f>'Planilha Orçamentária'!E84</f>
        <v>M</v>
      </c>
      <c r="F42" s="343"/>
      <c r="G42" s="344"/>
      <c r="H42" s="345"/>
      <c r="I42" s="345"/>
      <c r="J42" s="345"/>
      <c r="K42" s="345"/>
      <c r="L42" s="345"/>
      <c r="M42" s="346">
        <f>SUM(M43:M44)</f>
        <v>30</v>
      </c>
      <c r="N42" s="408"/>
      <c r="O42" s="409"/>
    </row>
    <row r="43" spans="1:15">
      <c r="A43" s="347"/>
      <c r="B43" s="347"/>
      <c r="C43" s="348"/>
      <c r="D43" s="421" t="s">
        <v>51</v>
      </c>
      <c r="E43" s="361"/>
      <c r="F43" s="423">
        <v>30</v>
      </c>
      <c r="G43" s="352"/>
      <c r="H43" s="353"/>
      <c r="I43" s="353"/>
      <c r="J43" s="353"/>
      <c r="K43" s="353"/>
      <c r="L43" s="353"/>
      <c r="M43" s="353">
        <f>F43</f>
        <v>30</v>
      </c>
      <c r="N43" s="405"/>
      <c r="O43" s="352"/>
    </row>
    <row r="44" spans="1:15">
      <c r="A44" s="347"/>
      <c r="B44" s="347"/>
      <c r="C44" s="348"/>
      <c r="D44" s="349"/>
      <c r="E44" s="361"/>
      <c r="F44" s="351"/>
      <c r="G44" s="352"/>
      <c r="H44" s="353"/>
      <c r="I44" s="353"/>
      <c r="J44" s="353"/>
      <c r="K44" s="353"/>
      <c r="L44" s="353"/>
      <c r="M44" s="353"/>
      <c r="N44" s="405"/>
      <c r="O44" s="352"/>
    </row>
    <row r="45" spans="1:15" ht="31.5">
      <c r="A45" s="339" t="s">
        <v>58</v>
      </c>
      <c r="B45" s="341" t="str">
        <f>'Planilha Orçamentária'!B85</f>
        <v>CCU</v>
      </c>
      <c r="C45" s="341" t="str">
        <f>'Planilha Orçamentária'!C85</f>
        <v>TOR-01</v>
      </c>
      <c r="D45" s="341" t="str">
        <f>'Planilha Orçamentária'!D85</f>
        <v>Curva 90º em PVC, cor marron para conexões soldáveis, Linha PBS conforme NBR 5648 - diâmetro = 8" Ref.: Tigre ou equivalente</v>
      </c>
      <c r="E45" s="341" t="str">
        <f>'Planilha Orçamentária'!E85</f>
        <v>UN</v>
      </c>
      <c r="F45" s="343"/>
      <c r="G45" s="344"/>
      <c r="H45" s="345"/>
      <c r="I45" s="345"/>
      <c r="J45" s="345"/>
      <c r="K45" s="345"/>
      <c r="L45" s="345"/>
      <c r="M45" s="346">
        <f>SUM(M46:M47)</f>
        <v>4</v>
      </c>
      <c r="N45" s="408"/>
      <c r="O45" s="409"/>
    </row>
    <row r="46" spans="1:15">
      <c r="A46" s="347"/>
      <c r="B46" s="347"/>
      <c r="C46" s="348"/>
      <c r="D46" s="421" t="s">
        <v>51</v>
      </c>
      <c r="E46" s="361"/>
      <c r="F46" s="423">
        <v>4</v>
      </c>
      <c r="G46" s="352"/>
      <c r="H46" s="353"/>
      <c r="I46" s="353"/>
      <c r="J46" s="353"/>
      <c r="K46" s="353"/>
      <c r="L46" s="353"/>
      <c r="M46" s="353">
        <f>F46</f>
        <v>4</v>
      </c>
      <c r="N46" s="405"/>
      <c r="O46" s="352"/>
    </row>
    <row r="47" spans="1:15">
      <c r="A47" s="347"/>
      <c r="B47" s="347"/>
      <c r="C47" s="348"/>
      <c r="D47" s="349"/>
      <c r="E47" s="361"/>
      <c r="F47" s="351"/>
      <c r="G47" s="352"/>
      <c r="H47" s="353"/>
      <c r="I47" s="353"/>
      <c r="J47" s="353"/>
      <c r="K47" s="353"/>
      <c r="L47" s="353"/>
      <c r="M47" s="353"/>
      <c r="N47" s="405"/>
      <c r="O47" s="352"/>
    </row>
    <row r="48" spans="1:15" ht="31.5">
      <c r="A48" s="339" t="s">
        <v>59</v>
      </c>
      <c r="B48" s="341"/>
      <c r="C48" s="341"/>
      <c r="D48" s="341" t="str">
        <f>'Planilha Orçamentária'!D86</f>
        <v>Flange com furos em PVC, cor marron para conexões soldáveis, Linha PBS conforme NBR 5648  Ref.: Tigre ou equivalente</v>
      </c>
      <c r="E48" s="341" t="str">
        <f>'Planilha Orçamentária'!E86</f>
        <v>UN</v>
      </c>
      <c r="F48" s="343"/>
      <c r="G48" s="344"/>
      <c r="H48" s="345"/>
      <c r="I48" s="345"/>
      <c r="J48" s="345"/>
      <c r="K48" s="345"/>
      <c r="L48" s="345"/>
      <c r="M48" s="346">
        <f>SUM(M49:M50)</f>
        <v>4</v>
      </c>
      <c r="N48" s="408"/>
      <c r="O48" s="409"/>
    </row>
    <row r="49" spans="1:15">
      <c r="A49" s="347"/>
      <c r="B49" s="347"/>
      <c r="C49" s="348"/>
      <c r="D49" s="421" t="s">
        <v>51</v>
      </c>
      <c r="E49" s="361"/>
      <c r="F49" s="423">
        <v>4</v>
      </c>
      <c r="G49" s="352"/>
      <c r="H49" s="353"/>
      <c r="I49" s="353"/>
      <c r="J49" s="353"/>
      <c r="K49" s="353"/>
      <c r="L49" s="353"/>
      <c r="M49" s="353">
        <f>F49</f>
        <v>4</v>
      </c>
      <c r="N49" s="405"/>
      <c r="O49" s="352"/>
    </row>
    <row r="50" spans="1:15">
      <c r="A50" s="347"/>
      <c r="B50" s="347"/>
      <c r="C50" s="348"/>
      <c r="D50" s="349"/>
      <c r="E50" s="361"/>
      <c r="F50" s="351"/>
      <c r="G50" s="352"/>
      <c r="H50" s="353"/>
      <c r="I50" s="353"/>
      <c r="J50" s="353"/>
      <c r="K50" s="353"/>
      <c r="L50" s="353"/>
      <c r="M50" s="353"/>
      <c r="N50" s="405"/>
      <c r="O50" s="352"/>
    </row>
    <row r="51" spans="1:15" ht="31.5">
      <c r="A51" s="339" t="s">
        <v>60</v>
      </c>
      <c r="B51" s="339"/>
      <c r="C51" s="340"/>
      <c r="D51" s="341" t="str">
        <f>'Planilha Orçamentária'!D87</f>
        <v>Flange de aço para solda com pescoço, faceamento com resalto, classe 150, padrão ansi-16.5 - norma astm-a105 - diâmetro = 8". Ref. Niagara ou equivalente</v>
      </c>
      <c r="E51" s="341" t="str">
        <f>'Planilha Orçamentária'!E87</f>
        <v>UN</v>
      </c>
      <c r="F51" s="343"/>
      <c r="G51" s="344"/>
      <c r="H51" s="345"/>
      <c r="I51" s="345"/>
      <c r="J51" s="345"/>
      <c r="K51" s="345"/>
      <c r="L51" s="345"/>
      <c r="M51" s="346">
        <f>SUM(M52:M53)</f>
        <v>2</v>
      </c>
      <c r="N51" s="408"/>
      <c r="O51" s="409"/>
    </row>
    <row r="52" spans="1:15">
      <c r="A52" s="347"/>
      <c r="B52" s="347"/>
      <c r="C52" s="348"/>
      <c r="D52" s="421" t="s">
        <v>51</v>
      </c>
      <c r="E52" s="361"/>
      <c r="F52" s="423">
        <v>2</v>
      </c>
      <c r="G52" s="352"/>
      <c r="H52" s="353"/>
      <c r="I52" s="353"/>
      <c r="J52" s="353"/>
      <c r="K52" s="353"/>
      <c r="L52" s="353"/>
      <c r="M52" s="353">
        <f>F52</f>
        <v>2</v>
      </c>
      <c r="N52" s="405"/>
      <c r="O52" s="352"/>
    </row>
    <row r="53" spans="1:15">
      <c r="A53" s="347"/>
      <c r="B53" s="347"/>
      <c r="C53" s="348"/>
      <c r="D53" s="349"/>
      <c r="E53" s="361"/>
      <c r="F53" s="351"/>
      <c r="G53" s="352"/>
      <c r="H53" s="353"/>
      <c r="I53" s="353"/>
      <c r="J53" s="353"/>
      <c r="K53" s="353"/>
      <c r="L53" s="353"/>
      <c r="M53" s="353"/>
      <c r="N53" s="405"/>
      <c r="O53" s="352"/>
    </row>
    <row r="54" spans="1:15">
      <c r="A54" s="339" t="s">
        <v>1398</v>
      </c>
      <c r="B54" s="339"/>
      <c r="C54" s="340"/>
      <c r="D54" s="341" t="e">
        <f>'Planilha Orçamentária'!#REF!</f>
        <v>#REF!</v>
      </c>
      <c r="E54" s="341" t="e">
        <f>'Planilha Orçamentária'!#REF!</f>
        <v>#REF!</v>
      </c>
      <c r="F54" s="343"/>
      <c r="G54" s="344"/>
      <c r="H54" s="345"/>
      <c r="I54" s="345"/>
      <c r="J54" s="345"/>
      <c r="K54" s="345"/>
      <c r="L54" s="345"/>
      <c r="M54" s="346">
        <f>SUM(M55:M56)</f>
        <v>1</v>
      </c>
      <c r="N54" s="408"/>
      <c r="O54" s="409"/>
    </row>
    <row r="55" spans="1:15">
      <c r="A55" s="347"/>
      <c r="B55" s="347"/>
      <c r="C55" s="348"/>
      <c r="D55" s="421" t="s">
        <v>51</v>
      </c>
      <c r="E55" s="361"/>
      <c r="F55" s="423">
        <v>1</v>
      </c>
      <c r="G55" s="352"/>
      <c r="H55" s="353"/>
      <c r="I55" s="353"/>
      <c r="J55" s="353"/>
      <c r="K55" s="353"/>
      <c r="L55" s="353"/>
      <c r="M55" s="353">
        <f>F55</f>
        <v>1</v>
      </c>
      <c r="N55" s="405"/>
      <c r="O55" s="352"/>
    </row>
    <row r="56" spans="1:15">
      <c r="A56" s="347"/>
      <c r="B56" s="347"/>
      <c r="C56" s="348"/>
      <c r="D56" s="349"/>
      <c r="E56" s="361"/>
      <c r="F56" s="351"/>
      <c r="G56" s="352"/>
      <c r="H56" s="353"/>
      <c r="I56" s="353"/>
      <c r="J56" s="353"/>
      <c r="K56" s="353"/>
      <c r="L56" s="353"/>
      <c r="M56" s="353"/>
      <c r="N56" s="405"/>
      <c r="O56" s="352"/>
    </row>
    <row r="57" spans="1:15">
      <c r="A57" s="339" t="s">
        <v>1399</v>
      </c>
      <c r="B57" s="339"/>
      <c r="C57" s="340"/>
      <c r="D57" s="341" t="e">
        <f>'Planilha Orçamentária'!#REF!</f>
        <v>#REF!</v>
      </c>
      <c r="E57" s="341" t="e">
        <f>'Planilha Orçamentária'!#REF!</f>
        <v>#REF!</v>
      </c>
      <c r="F57" s="343"/>
      <c r="G57" s="344"/>
      <c r="H57" s="345"/>
      <c r="I57" s="345"/>
      <c r="J57" s="345"/>
      <c r="K57" s="345"/>
      <c r="L57" s="345"/>
      <c r="M57" s="346">
        <f>SUM(M58:M59)</f>
        <v>15.2</v>
      </c>
      <c r="N57" s="408"/>
      <c r="O57" s="409"/>
    </row>
    <row r="58" spans="1:15">
      <c r="A58" s="347"/>
      <c r="B58" s="347"/>
      <c r="C58" s="348"/>
      <c r="D58" s="421" t="s">
        <v>51</v>
      </c>
      <c r="E58" s="361"/>
      <c r="F58" s="423">
        <v>15.2</v>
      </c>
      <c r="G58" s="352"/>
      <c r="H58" s="353"/>
      <c r="I58" s="353"/>
      <c r="J58" s="353"/>
      <c r="K58" s="353"/>
      <c r="L58" s="353"/>
      <c r="M58" s="353">
        <f>F58</f>
        <v>15.2</v>
      </c>
      <c r="N58" s="405"/>
      <c r="O58" s="352"/>
    </row>
    <row r="59" spans="1:15">
      <c r="A59" s="347"/>
      <c r="B59" s="347"/>
      <c r="C59" s="348"/>
      <c r="D59" s="349"/>
      <c r="E59" s="361"/>
      <c r="F59" s="351"/>
      <c r="G59" s="352"/>
      <c r="H59" s="353"/>
      <c r="I59" s="353"/>
      <c r="J59" s="353"/>
      <c r="K59" s="353"/>
      <c r="L59" s="353"/>
      <c r="M59" s="353"/>
      <c r="N59" s="405"/>
      <c r="O59" s="352"/>
    </row>
    <row r="60" spans="1:15">
      <c r="A60" s="311" t="s">
        <v>43</v>
      </c>
      <c r="B60" s="312"/>
      <c r="C60" s="313"/>
      <c r="D60" s="314" t="s">
        <v>61</v>
      </c>
      <c r="E60" s="327"/>
      <c r="F60" s="328"/>
      <c r="G60" s="329"/>
      <c r="H60" s="329"/>
      <c r="I60" s="329"/>
      <c r="J60" s="329"/>
      <c r="K60" s="329"/>
      <c r="L60" s="329"/>
      <c r="M60" s="330"/>
      <c r="N60" s="407"/>
      <c r="O60" s="330"/>
    </row>
    <row r="61" spans="1:15">
      <c r="A61" s="339" t="s">
        <v>45</v>
      </c>
      <c r="B61" s="339" t="s">
        <v>4</v>
      </c>
      <c r="C61" s="340" t="s">
        <v>156</v>
      </c>
      <c r="D61" s="341" t="s">
        <v>157</v>
      </c>
      <c r="E61" s="342" t="s">
        <v>158</v>
      </c>
      <c r="F61" s="343"/>
      <c r="G61" s="344"/>
      <c r="H61" s="345"/>
      <c r="I61" s="345"/>
      <c r="J61" s="345"/>
      <c r="K61" s="345"/>
      <c r="L61" s="345"/>
      <c r="M61" s="346">
        <f>SUM(M62:M63)</f>
        <v>11</v>
      </c>
      <c r="N61" s="408"/>
      <c r="O61" s="409"/>
    </row>
    <row r="62" spans="1:15">
      <c r="A62" s="347"/>
      <c r="B62" s="347"/>
      <c r="C62" s="348"/>
      <c r="D62" s="349" t="s">
        <v>1400</v>
      </c>
      <c r="E62" s="361"/>
      <c r="F62" s="351">
        <f>M28+M31</f>
        <v>50.16</v>
      </c>
      <c r="G62" s="352">
        <v>5</v>
      </c>
      <c r="H62" s="353"/>
      <c r="I62" s="353"/>
      <c r="J62" s="353"/>
      <c r="K62" s="353"/>
      <c r="L62" s="353"/>
      <c r="M62" s="353">
        <f>ROUNDUP((F62/G62),0)</f>
        <v>11</v>
      </c>
      <c r="N62" s="405"/>
      <c r="O62" s="352"/>
    </row>
    <row r="63" spans="1:15">
      <c r="A63" s="347"/>
      <c r="B63" s="347"/>
      <c r="C63" s="348"/>
      <c r="D63" s="349"/>
      <c r="E63" s="361"/>
      <c r="F63" s="351"/>
      <c r="G63" s="352"/>
      <c r="H63" s="353"/>
      <c r="I63" s="353"/>
      <c r="J63" s="353"/>
      <c r="K63" s="353"/>
      <c r="L63" s="353"/>
      <c r="M63" s="353"/>
      <c r="N63" s="405"/>
      <c r="O63" s="352"/>
    </row>
    <row r="64" spans="1:15">
      <c r="A64" s="319"/>
      <c r="B64" s="320"/>
      <c r="C64" s="321"/>
      <c r="D64" s="322"/>
      <c r="E64" s="320"/>
      <c r="F64" s="323"/>
      <c r="G64" s="324"/>
      <c r="H64" s="324"/>
      <c r="I64" s="324"/>
      <c r="J64" s="324"/>
      <c r="K64" s="324"/>
      <c r="L64" s="324"/>
      <c r="M64" s="324"/>
      <c r="N64" s="325"/>
      <c r="O64" s="326"/>
    </row>
    <row r="65" spans="1:15">
      <c r="A65" s="301">
        <v>2</v>
      </c>
      <c r="B65" s="302"/>
      <c r="C65" s="303"/>
      <c r="D65" s="304" t="s">
        <v>63</v>
      </c>
      <c r="E65" s="305"/>
      <c r="F65" s="331"/>
      <c r="G65" s="307"/>
      <c r="H65" s="307"/>
      <c r="I65" s="307"/>
      <c r="J65" s="307"/>
      <c r="K65" s="307"/>
      <c r="L65" s="307"/>
      <c r="M65" s="308"/>
      <c r="N65" s="402"/>
      <c r="O65" s="308"/>
    </row>
    <row r="66" spans="1:15">
      <c r="A66" s="311" t="s">
        <v>52</v>
      </c>
      <c r="B66" s="312"/>
      <c r="C66" s="313"/>
      <c r="D66" s="314" t="s">
        <v>65</v>
      </c>
      <c r="E66" s="327"/>
      <c r="F66" s="332"/>
      <c r="G66" s="329"/>
      <c r="H66" s="329"/>
      <c r="I66" s="329"/>
      <c r="J66" s="329"/>
      <c r="K66" s="329"/>
      <c r="L66" s="329"/>
      <c r="M66" s="330"/>
      <c r="N66" s="407"/>
      <c r="O66" s="330"/>
    </row>
    <row r="67" spans="1:15">
      <c r="A67" s="339" t="s">
        <v>54</v>
      </c>
      <c r="B67" s="339" t="s">
        <v>2</v>
      </c>
      <c r="C67" s="340">
        <v>104626</v>
      </c>
      <c r="D67" s="341" t="s">
        <v>317</v>
      </c>
      <c r="E67" s="342" t="s">
        <v>253</v>
      </c>
      <c r="F67" s="343"/>
      <c r="G67" s="344"/>
      <c r="H67" s="345"/>
      <c r="I67" s="345"/>
      <c r="J67" s="345"/>
      <c r="K67" s="345"/>
      <c r="L67" s="345"/>
      <c r="M67" s="346">
        <f>SUM(M68:M69)</f>
        <v>2.5100000000000002</v>
      </c>
      <c r="N67" s="408"/>
      <c r="O67" s="409"/>
    </row>
    <row r="68" spans="1:15">
      <c r="A68" s="347"/>
      <c r="B68" s="347"/>
      <c r="C68" s="348"/>
      <c r="D68" s="421" t="s">
        <v>51</v>
      </c>
      <c r="E68" s="361"/>
      <c r="F68" s="423">
        <v>2.5100000000000002</v>
      </c>
      <c r="G68" s="352"/>
      <c r="H68" s="353"/>
      <c r="I68" s="353"/>
      <c r="J68" s="353"/>
      <c r="K68" s="353"/>
      <c r="L68" s="353"/>
      <c r="M68" s="353">
        <f>F68</f>
        <v>2.5100000000000002</v>
      </c>
      <c r="N68" s="405"/>
      <c r="O68" s="352"/>
    </row>
    <row r="69" spans="1:15">
      <c r="A69" s="347"/>
      <c r="B69" s="347"/>
      <c r="C69" s="348"/>
      <c r="D69" s="349"/>
      <c r="E69" s="361"/>
      <c r="F69" s="351"/>
      <c r="G69" s="352"/>
      <c r="H69" s="353"/>
      <c r="I69" s="353"/>
      <c r="J69" s="353"/>
      <c r="K69" s="353"/>
      <c r="L69" s="353"/>
      <c r="M69" s="353"/>
      <c r="N69" s="405"/>
      <c r="O69" s="352"/>
    </row>
    <row r="70" spans="1:15">
      <c r="A70" s="339" t="s">
        <v>56</v>
      </c>
      <c r="B70" s="339" t="s">
        <v>2</v>
      </c>
      <c r="C70" s="340">
        <v>104626</v>
      </c>
      <c r="D70" s="341" t="s">
        <v>319</v>
      </c>
      <c r="E70" s="342" t="s">
        <v>253</v>
      </c>
      <c r="F70" s="343"/>
      <c r="G70" s="344"/>
      <c r="H70" s="345"/>
      <c r="I70" s="345"/>
      <c r="J70" s="345"/>
      <c r="K70" s="345"/>
      <c r="L70" s="345"/>
      <c r="M70" s="346">
        <f>SUM(M71:M72)</f>
        <v>7.8000000000000007</v>
      </c>
      <c r="N70" s="408"/>
      <c r="O70" s="409"/>
    </row>
    <row r="71" spans="1:15">
      <c r="A71" s="347"/>
      <c r="B71" s="347"/>
      <c r="C71" s="348"/>
      <c r="D71" s="421" t="s">
        <v>51</v>
      </c>
      <c r="E71" s="422"/>
      <c r="F71" s="423">
        <f>39*0.2</f>
        <v>7.8000000000000007</v>
      </c>
      <c r="G71" s="352"/>
      <c r="H71" s="353"/>
      <c r="I71" s="353"/>
      <c r="J71" s="353"/>
      <c r="K71" s="353"/>
      <c r="L71" s="353"/>
      <c r="M71" s="353">
        <f>F71</f>
        <v>7.8000000000000007</v>
      </c>
      <c r="N71" s="405"/>
      <c r="O71" s="352"/>
    </row>
    <row r="72" spans="1:15">
      <c r="A72" s="347"/>
      <c r="B72" s="347"/>
      <c r="C72" s="348"/>
      <c r="D72" s="349"/>
      <c r="E72" s="361"/>
      <c r="F72" s="351"/>
      <c r="G72" s="352"/>
      <c r="H72" s="353"/>
      <c r="I72" s="353"/>
      <c r="J72" s="353"/>
      <c r="K72" s="353"/>
      <c r="L72" s="353"/>
      <c r="M72" s="353"/>
      <c r="N72" s="405"/>
      <c r="O72" s="352"/>
    </row>
    <row r="73" spans="1:15" ht="31.5">
      <c r="A73" s="339" t="s">
        <v>58</v>
      </c>
      <c r="B73" s="339" t="s">
        <v>3</v>
      </c>
      <c r="C73" s="340" t="s">
        <v>321</v>
      </c>
      <c r="D73" s="341" t="s">
        <v>322</v>
      </c>
      <c r="E73" s="342" t="s">
        <v>1401</v>
      </c>
      <c r="F73" s="343"/>
      <c r="G73" s="344"/>
      <c r="H73" s="345"/>
      <c r="I73" s="345"/>
      <c r="J73" s="345"/>
      <c r="K73" s="345"/>
      <c r="L73" s="345"/>
      <c r="M73" s="346">
        <f>SUM(M74:M75)</f>
        <v>40</v>
      </c>
      <c r="N73" s="408"/>
      <c r="O73" s="409"/>
    </row>
    <row r="74" spans="1:15">
      <c r="A74" s="347"/>
      <c r="B74" s="347"/>
      <c r="C74" s="348"/>
      <c r="D74" s="421" t="s">
        <v>51</v>
      </c>
      <c r="E74" s="422"/>
      <c r="F74" s="423">
        <v>40</v>
      </c>
      <c r="G74" s="352"/>
      <c r="H74" s="353"/>
      <c r="I74" s="353"/>
      <c r="J74" s="353"/>
      <c r="K74" s="353"/>
      <c r="L74" s="353"/>
      <c r="M74" s="353">
        <f>F74</f>
        <v>40</v>
      </c>
      <c r="N74" s="405"/>
      <c r="O74" s="352"/>
    </row>
    <row r="75" spans="1:15">
      <c r="A75" s="347"/>
      <c r="B75" s="347"/>
      <c r="C75" s="348"/>
      <c r="D75" s="349"/>
      <c r="E75" s="361"/>
      <c r="F75" s="351"/>
      <c r="G75" s="352"/>
      <c r="H75" s="353"/>
      <c r="I75" s="353"/>
      <c r="J75" s="353"/>
      <c r="K75" s="353"/>
      <c r="L75" s="353"/>
      <c r="M75" s="353"/>
      <c r="N75" s="405"/>
      <c r="O75" s="352"/>
    </row>
    <row r="76" spans="1:15">
      <c r="A76" s="339" t="s">
        <v>59</v>
      </c>
      <c r="B76" s="339" t="s">
        <v>3</v>
      </c>
      <c r="C76" s="340" t="s">
        <v>324</v>
      </c>
      <c r="D76" s="341" t="s">
        <v>325</v>
      </c>
      <c r="E76" s="342" t="s">
        <v>1401</v>
      </c>
      <c r="F76" s="343"/>
      <c r="G76" s="344"/>
      <c r="H76" s="345"/>
      <c r="I76" s="345"/>
      <c r="J76" s="345"/>
      <c r="K76" s="345"/>
      <c r="L76" s="345"/>
      <c r="M76" s="346">
        <f>SUM(M77:M78)</f>
        <v>20</v>
      </c>
      <c r="N76" s="408"/>
      <c r="O76" s="409"/>
    </row>
    <row r="77" spans="1:15">
      <c r="A77" s="347"/>
      <c r="B77" s="347"/>
      <c r="C77" s="348"/>
      <c r="D77" s="421" t="s">
        <v>51</v>
      </c>
      <c r="E77" s="422"/>
      <c r="F77" s="423">
        <v>20</v>
      </c>
      <c r="G77" s="352"/>
      <c r="H77" s="353"/>
      <c r="I77" s="353"/>
      <c r="J77" s="353"/>
      <c r="K77" s="353"/>
      <c r="L77" s="353"/>
      <c r="M77" s="353">
        <f>F77</f>
        <v>20</v>
      </c>
      <c r="N77" s="405"/>
      <c r="O77" s="352"/>
    </row>
    <row r="78" spans="1:15">
      <c r="A78" s="347"/>
      <c r="B78" s="347"/>
      <c r="C78" s="348"/>
      <c r="D78" s="349"/>
      <c r="E78" s="361"/>
      <c r="F78" s="351"/>
      <c r="G78" s="352"/>
      <c r="H78" s="353"/>
      <c r="I78" s="353"/>
      <c r="J78" s="353"/>
      <c r="K78" s="353"/>
      <c r="L78" s="353"/>
      <c r="M78" s="353"/>
      <c r="N78" s="405"/>
      <c r="O78" s="352"/>
    </row>
    <row r="79" spans="1:15">
      <c r="A79" s="319"/>
      <c r="B79" s="320"/>
      <c r="C79" s="321"/>
      <c r="D79" s="322"/>
      <c r="E79" s="320"/>
      <c r="F79" s="323"/>
      <c r="G79" s="324"/>
      <c r="H79" s="324"/>
      <c r="I79" s="324"/>
      <c r="J79" s="324"/>
      <c r="K79" s="324"/>
      <c r="L79" s="324"/>
      <c r="M79" s="324"/>
      <c r="N79" s="325"/>
      <c r="O79" s="326"/>
    </row>
    <row r="80" spans="1:15">
      <c r="A80" s="301">
        <v>3</v>
      </c>
      <c r="B80" s="302"/>
      <c r="C80" s="303"/>
      <c r="D80" s="304" t="s">
        <v>1402</v>
      </c>
      <c r="E80" s="305"/>
      <c r="F80" s="306"/>
      <c r="G80" s="307"/>
      <c r="H80" s="307"/>
      <c r="I80" s="307"/>
      <c r="J80" s="307"/>
      <c r="K80" s="307"/>
      <c r="L80" s="307"/>
      <c r="M80" s="308"/>
      <c r="N80" s="402"/>
      <c r="O80" s="308"/>
    </row>
    <row r="81" spans="1:15">
      <c r="A81" s="311" t="s">
        <v>84</v>
      </c>
      <c r="B81" s="312"/>
      <c r="C81" s="313"/>
      <c r="D81" s="314" t="s">
        <v>68</v>
      </c>
      <c r="E81" s="327"/>
      <c r="F81" s="328"/>
      <c r="G81" s="329"/>
      <c r="H81" s="329"/>
      <c r="I81" s="329"/>
      <c r="J81" s="329"/>
      <c r="K81" s="329"/>
      <c r="L81" s="329"/>
      <c r="M81" s="330"/>
      <c r="N81" s="407"/>
      <c r="O81" s="330"/>
    </row>
    <row r="82" spans="1:15" ht="31.5">
      <c r="A82" s="339" t="s">
        <v>86</v>
      </c>
      <c r="B82" s="339" t="s">
        <v>3</v>
      </c>
      <c r="C82" s="340" t="s">
        <v>833</v>
      </c>
      <c r="D82" s="341" t="s">
        <v>834</v>
      </c>
      <c r="E82" s="342" t="s">
        <v>180</v>
      </c>
      <c r="F82" s="343"/>
      <c r="G82" s="344"/>
      <c r="H82" s="345"/>
      <c r="I82" s="345"/>
      <c r="J82" s="345"/>
      <c r="K82" s="345"/>
      <c r="L82" s="345"/>
      <c r="M82" s="346">
        <f>SUM(M83:M86)</f>
        <v>1648.9849999999999</v>
      </c>
      <c r="N82" s="408"/>
      <c r="O82" s="409"/>
    </row>
    <row r="83" spans="1:15">
      <c r="A83" s="347"/>
      <c r="B83" s="347"/>
      <c r="C83" s="348"/>
      <c r="D83" s="421" t="s">
        <v>1403</v>
      </c>
      <c r="E83" s="422"/>
      <c r="F83" s="423">
        <f>850*1.15</f>
        <v>977.49999999999989</v>
      </c>
      <c r="G83" s="352"/>
      <c r="H83" s="353"/>
      <c r="I83" s="353"/>
      <c r="J83" s="353"/>
      <c r="K83" s="353"/>
      <c r="L83" s="353"/>
      <c r="M83" s="353">
        <f>F83</f>
        <v>977.49999999999989</v>
      </c>
      <c r="N83" s="405"/>
      <c r="O83" s="352"/>
    </row>
    <row r="84" spans="1:15">
      <c r="A84" s="347"/>
      <c r="B84" s="347"/>
      <c r="C84" s="348"/>
      <c r="D84" s="421" t="s">
        <v>1404</v>
      </c>
      <c r="E84" s="422"/>
      <c r="F84" s="423">
        <f>450*1.15</f>
        <v>517.5</v>
      </c>
      <c r="G84" s="352"/>
      <c r="H84" s="353"/>
      <c r="I84" s="353"/>
      <c r="J84" s="353"/>
      <c r="K84" s="353"/>
      <c r="L84" s="353"/>
      <c r="M84" s="353">
        <f>F84</f>
        <v>517.5</v>
      </c>
      <c r="N84" s="405"/>
      <c r="O84" s="352"/>
    </row>
    <row r="85" spans="1:15">
      <c r="A85" s="347"/>
      <c r="B85" s="347"/>
      <c r="C85" s="348"/>
      <c r="D85" s="421" t="s">
        <v>1405</v>
      </c>
      <c r="E85" s="422"/>
      <c r="F85" s="423">
        <f>133.9*1.15</f>
        <v>153.98499999999999</v>
      </c>
      <c r="G85" s="352"/>
      <c r="H85" s="353"/>
      <c r="I85" s="353"/>
      <c r="J85" s="353"/>
      <c r="K85" s="353"/>
      <c r="L85" s="353"/>
      <c r="M85" s="353">
        <f>F85</f>
        <v>153.98499999999999</v>
      </c>
      <c r="N85" s="405"/>
      <c r="O85" s="352"/>
    </row>
    <row r="86" spans="1:15">
      <c r="A86" s="354"/>
      <c r="B86" s="354"/>
      <c r="C86" s="355"/>
      <c r="D86" s="356"/>
      <c r="E86" s="362"/>
      <c r="F86" s="358"/>
      <c r="G86" s="359"/>
      <c r="H86" s="360"/>
      <c r="I86" s="360"/>
      <c r="J86" s="360"/>
      <c r="K86" s="360"/>
      <c r="L86" s="360"/>
      <c r="M86" s="360"/>
      <c r="N86" s="405"/>
      <c r="O86" s="352"/>
    </row>
    <row r="87" spans="1:15" ht="31.5">
      <c r="A87" s="339" t="s">
        <v>87</v>
      </c>
      <c r="B87" s="339" t="s">
        <v>3</v>
      </c>
      <c r="C87" s="340" t="s">
        <v>836</v>
      </c>
      <c r="D87" s="341" t="s">
        <v>837</v>
      </c>
      <c r="E87" s="342" t="s">
        <v>180</v>
      </c>
      <c r="F87" s="343"/>
      <c r="G87" s="344"/>
      <c r="H87" s="345"/>
      <c r="I87" s="345"/>
      <c r="J87" s="345"/>
      <c r="K87" s="345"/>
      <c r="L87" s="345"/>
      <c r="M87" s="346">
        <f>SUM(M88:M90)</f>
        <v>2083.7999999999997</v>
      </c>
      <c r="N87" s="408"/>
      <c r="O87" s="409"/>
    </row>
    <row r="88" spans="1:15">
      <c r="A88" s="347"/>
      <c r="B88" s="347"/>
      <c r="C88" s="348"/>
      <c r="D88" s="421" t="s">
        <v>1406</v>
      </c>
      <c r="E88" s="422"/>
      <c r="F88" s="423">
        <f>1092*1.15</f>
        <v>1255.8</v>
      </c>
      <c r="G88" s="352"/>
      <c r="H88" s="353"/>
      <c r="I88" s="353"/>
      <c r="J88" s="353"/>
      <c r="K88" s="353"/>
      <c r="L88" s="353"/>
      <c r="M88" s="353">
        <f>F88</f>
        <v>1255.8</v>
      </c>
      <c r="N88" s="405"/>
      <c r="O88" s="352"/>
    </row>
    <row r="89" spans="1:15">
      <c r="A89" s="347"/>
      <c r="B89" s="347"/>
      <c r="C89" s="348"/>
      <c r="D89" s="421" t="s">
        <v>1407</v>
      </c>
      <c r="E89" s="422"/>
      <c r="F89" s="423">
        <f>720*1.15</f>
        <v>827.99999999999989</v>
      </c>
      <c r="G89" s="352"/>
      <c r="H89" s="353"/>
      <c r="I89" s="353"/>
      <c r="J89" s="353"/>
      <c r="K89" s="353"/>
      <c r="L89" s="353"/>
      <c r="M89" s="353">
        <f>F89</f>
        <v>827.99999999999989</v>
      </c>
      <c r="N89" s="405"/>
      <c r="O89" s="352"/>
    </row>
    <row r="90" spans="1:15">
      <c r="A90" s="354"/>
      <c r="B90" s="354"/>
      <c r="C90" s="355"/>
      <c r="D90" s="356"/>
      <c r="E90" s="362"/>
      <c r="F90" s="358"/>
      <c r="G90" s="359"/>
      <c r="H90" s="360"/>
      <c r="I90" s="360"/>
      <c r="J90" s="360"/>
      <c r="K90" s="360"/>
      <c r="L90" s="360"/>
      <c r="M90" s="360"/>
      <c r="N90" s="405"/>
      <c r="O90" s="352"/>
    </row>
    <row r="91" spans="1:15" ht="31.5">
      <c r="A91" s="339" t="s">
        <v>1319</v>
      </c>
      <c r="B91" s="339" t="s">
        <v>3</v>
      </c>
      <c r="C91" s="340" t="s">
        <v>1408</v>
      </c>
      <c r="D91" s="341" t="s">
        <v>1409</v>
      </c>
      <c r="E91" s="342" t="s">
        <v>180</v>
      </c>
      <c r="F91" s="343"/>
      <c r="G91" s="344"/>
      <c r="H91" s="345"/>
      <c r="I91" s="345"/>
      <c r="J91" s="345"/>
      <c r="K91" s="345"/>
      <c r="L91" s="345"/>
      <c r="M91" s="346">
        <f>SUM(M92:M93)</f>
        <v>48.3</v>
      </c>
      <c r="N91" s="408"/>
      <c r="O91" s="409"/>
    </row>
    <row r="92" spans="1:15">
      <c r="A92" s="347"/>
      <c r="B92" s="347"/>
      <c r="C92" s="348"/>
      <c r="D92" s="421" t="s">
        <v>1405</v>
      </c>
      <c r="E92" s="422"/>
      <c r="F92" s="423">
        <f>42*1.15</f>
        <v>48.3</v>
      </c>
      <c r="G92" s="352"/>
      <c r="H92" s="353"/>
      <c r="I92" s="353"/>
      <c r="J92" s="353"/>
      <c r="K92" s="353"/>
      <c r="L92" s="353"/>
      <c r="M92" s="353">
        <f>F92</f>
        <v>48.3</v>
      </c>
      <c r="N92" s="405"/>
      <c r="O92" s="352"/>
    </row>
    <row r="93" spans="1:15">
      <c r="A93" s="354"/>
      <c r="B93" s="354"/>
      <c r="C93" s="355"/>
      <c r="D93" s="356"/>
      <c r="E93" s="362"/>
      <c r="F93" s="358"/>
      <c r="G93" s="359"/>
      <c r="H93" s="360"/>
      <c r="I93" s="360"/>
      <c r="J93" s="360"/>
      <c r="K93" s="360"/>
      <c r="L93" s="360"/>
      <c r="M93" s="360"/>
      <c r="N93" s="405"/>
      <c r="O93" s="352"/>
    </row>
    <row r="94" spans="1:15" ht="31.5">
      <c r="A94" s="339" t="s">
        <v>1320</v>
      </c>
      <c r="B94" s="339" t="s">
        <v>3</v>
      </c>
      <c r="C94" s="340" t="s">
        <v>1346</v>
      </c>
      <c r="D94" s="341" t="s">
        <v>1347</v>
      </c>
      <c r="E94" s="342" t="s">
        <v>180</v>
      </c>
      <c r="F94" s="343"/>
      <c r="G94" s="344"/>
      <c r="H94" s="345"/>
      <c r="I94" s="345"/>
      <c r="J94" s="345"/>
      <c r="K94" s="345"/>
      <c r="L94" s="345"/>
      <c r="M94" s="346">
        <f>SUM(M95:M96)</f>
        <v>369</v>
      </c>
      <c r="N94" s="408"/>
      <c r="O94" s="409"/>
    </row>
    <row r="95" spans="1:15">
      <c r="A95" s="347"/>
      <c r="B95" s="347"/>
      <c r="C95" s="348"/>
      <c r="D95" s="421" t="s">
        <v>1405</v>
      </c>
      <c r="E95" s="422"/>
      <c r="F95" s="423">
        <v>369</v>
      </c>
      <c r="G95" s="352"/>
      <c r="H95" s="353"/>
      <c r="I95" s="353"/>
      <c r="J95" s="353"/>
      <c r="K95" s="353"/>
      <c r="L95" s="353"/>
      <c r="M95" s="353">
        <f>F95</f>
        <v>369</v>
      </c>
      <c r="N95" s="405"/>
      <c r="O95" s="352"/>
    </row>
    <row r="96" spans="1:15">
      <c r="A96" s="354"/>
      <c r="B96" s="354"/>
      <c r="C96" s="355"/>
      <c r="D96" s="356"/>
      <c r="E96" s="362"/>
      <c r="F96" s="358"/>
      <c r="G96" s="359"/>
      <c r="H96" s="360"/>
      <c r="I96" s="360"/>
      <c r="J96" s="360"/>
      <c r="K96" s="360"/>
      <c r="L96" s="360"/>
      <c r="M96" s="360"/>
      <c r="N96" s="405"/>
      <c r="O96" s="352"/>
    </row>
    <row r="97" spans="1:15" ht="31.5">
      <c r="A97" s="339" t="s">
        <v>1321</v>
      </c>
      <c r="B97" s="339" t="s">
        <v>3</v>
      </c>
      <c r="C97" s="340" t="s">
        <v>839</v>
      </c>
      <c r="D97" s="341" t="s">
        <v>1348</v>
      </c>
      <c r="E97" s="342" t="s">
        <v>180</v>
      </c>
      <c r="F97" s="343"/>
      <c r="G97" s="344"/>
      <c r="H97" s="345"/>
      <c r="I97" s="345"/>
      <c r="J97" s="345"/>
      <c r="K97" s="345"/>
      <c r="L97" s="345"/>
      <c r="M97" s="346">
        <f>SUM(M98:M99)</f>
        <v>685</v>
      </c>
      <c r="N97" s="408"/>
      <c r="O97" s="409"/>
    </row>
    <row r="98" spans="1:15">
      <c r="A98" s="347"/>
      <c r="B98" s="347"/>
      <c r="C98" s="348"/>
      <c r="D98" s="421" t="s">
        <v>1405</v>
      </c>
      <c r="E98" s="422"/>
      <c r="F98" s="423">
        <v>685</v>
      </c>
      <c r="G98" s="352"/>
      <c r="H98" s="353"/>
      <c r="I98" s="353"/>
      <c r="J98" s="353"/>
      <c r="K98" s="353"/>
      <c r="L98" s="353"/>
      <c r="M98" s="353">
        <f>F98</f>
        <v>685</v>
      </c>
      <c r="N98" s="405"/>
      <c r="O98" s="352"/>
    </row>
    <row r="99" spans="1:15">
      <c r="A99" s="354"/>
      <c r="B99" s="354"/>
      <c r="C99" s="355"/>
      <c r="D99" s="356"/>
      <c r="E99" s="362"/>
      <c r="F99" s="358"/>
      <c r="G99" s="359"/>
      <c r="H99" s="360"/>
      <c r="I99" s="360"/>
      <c r="J99" s="360"/>
      <c r="K99" s="360"/>
      <c r="L99" s="360"/>
      <c r="M99" s="360"/>
      <c r="N99" s="405"/>
      <c r="O99" s="352"/>
    </row>
    <row r="100" spans="1:15" ht="31.5">
      <c r="A100" s="339" t="s">
        <v>1322</v>
      </c>
      <c r="B100" s="339" t="s">
        <v>3</v>
      </c>
      <c r="C100" s="340" t="s">
        <v>330</v>
      </c>
      <c r="D100" s="341" t="s">
        <v>331</v>
      </c>
      <c r="E100" s="342" t="s">
        <v>180</v>
      </c>
      <c r="F100" s="343"/>
      <c r="G100" s="344"/>
      <c r="H100" s="345"/>
      <c r="I100" s="345"/>
      <c r="J100" s="345"/>
      <c r="K100" s="345"/>
      <c r="L100" s="345"/>
      <c r="M100" s="346">
        <f>SUM(M101:M102)</f>
        <v>75</v>
      </c>
      <c r="N100" s="408"/>
      <c r="O100" s="409"/>
    </row>
    <row r="101" spans="1:15">
      <c r="A101" s="347"/>
      <c r="B101" s="347"/>
      <c r="C101" s="348"/>
      <c r="D101" s="421" t="s">
        <v>1405</v>
      </c>
      <c r="E101" s="422"/>
      <c r="F101" s="423">
        <v>75</v>
      </c>
      <c r="G101" s="352"/>
      <c r="H101" s="353"/>
      <c r="I101" s="353"/>
      <c r="J101" s="353"/>
      <c r="K101" s="353"/>
      <c r="L101" s="353"/>
      <c r="M101" s="353">
        <f>F101</f>
        <v>75</v>
      </c>
      <c r="N101" s="405"/>
      <c r="O101" s="352"/>
    </row>
    <row r="102" spans="1:15">
      <c r="A102" s="354"/>
      <c r="B102" s="354"/>
      <c r="C102" s="355"/>
      <c r="D102" s="356"/>
      <c r="E102" s="362"/>
      <c r="F102" s="358"/>
      <c r="G102" s="359"/>
      <c r="H102" s="360"/>
      <c r="I102" s="360"/>
      <c r="J102" s="360"/>
      <c r="K102" s="360"/>
      <c r="L102" s="360"/>
      <c r="M102" s="360"/>
      <c r="N102" s="405"/>
      <c r="O102" s="352"/>
    </row>
    <row r="103" spans="1:15" ht="31.5">
      <c r="A103" s="339" t="s">
        <v>1323</v>
      </c>
      <c r="B103" s="339" t="s">
        <v>3</v>
      </c>
      <c r="C103" s="340" t="s">
        <v>333</v>
      </c>
      <c r="D103" s="341" t="s">
        <v>334</v>
      </c>
      <c r="E103" s="342" t="s">
        <v>180</v>
      </c>
      <c r="F103" s="343"/>
      <c r="G103" s="344"/>
      <c r="H103" s="345"/>
      <c r="I103" s="345"/>
      <c r="J103" s="345"/>
      <c r="K103" s="345"/>
      <c r="L103" s="345"/>
      <c r="M103" s="346">
        <f>SUM(M104:M105)</f>
        <v>240</v>
      </c>
      <c r="N103" s="408"/>
      <c r="O103" s="409"/>
    </row>
    <row r="104" spans="1:15">
      <c r="A104" s="347"/>
      <c r="B104" s="347"/>
      <c r="C104" s="348"/>
      <c r="D104" s="421" t="s">
        <v>1405</v>
      </c>
      <c r="E104" s="422"/>
      <c r="F104" s="423">
        <v>240</v>
      </c>
      <c r="G104" s="352"/>
      <c r="H104" s="353"/>
      <c r="I104" s="353"/>
      <c r="J104" s="353"/>
      <c r="K104" s="353"/>
      <c r="L104" s="353"/>
      <c r="M104" s="353">
        <f>F104</f>
        <v>240</v>
      </c>
      <c r="N104" s="405"/>
      <c r="O104" s="352"/>
    </row>
    <row r="105" spans="1:15">
      <c r="A105" s="354"/>
      <c r="B105" s="354"/>
      <c r="C105" s="355"/>
      <c r="D105" s="356"/>
      <c r="E105" s="362"/>
      <c r="F105" s="358"/>
      <c r="G105" s="359"/>
      <c r="H105" s="360"/>
      <c r="I105" s="360"/>
      <c r="J105" s="360"/>
      <c r="K105" s="360"/>
      <c r="L105" s="360"/>
      <c r="M105" s="360"/>
      <c r="N105" s="405"/>
      <c r="O105" s="352"/>
    </row>
    <row r="106" spans="1:15" ht="31.5">
      <c r="A106" s="339" t="s">
        <v>1324</v>
      </c>
      <c r="B106" s="339" t="s">
        <v>3</v>
      </c>
      <c r="C106" s="340" t="s">
        <v>207</v>
      </c>
      <c r="D106" s="341" t="s">
        <v>208</v>
      </c>
      <c r="E106" s="342" t="s">
        <v>180</v>
      </c>
      <c r="F106" s="343"/>
      <c r="G106" s="344"/>
      <c r="H106" s="345"/>
      <c r="I106" s="345"/>
      <c r="J106" s="345"/>
      <c r="K106" s="345"/>
      <c r="L106" s="345"/>
      <c r="M106" s="346">
        <f>SUM(M107:M108)</f>
        <v>17</v>
      </c>
      <c r="N106" s="408"/>
      <c r="O106" s="409"/>
    </row>
    <row r="107" spans="1:15">
      <c r="A107" s="347"/>
      <c r="B107" s="347"/>
      <c r="C107" s="348"/>
      <c r="D107" s="421" t="s">
        <v>1405</v>
      </c>
      <c r="E107" s="422"/>
      <c r="F107" s="423">
        <v>17</v>
      </c>
      <c r="G107" s="352"/>
      <c r="H107" s="353"/>
      <c r="I107" s="353"/>
      <c r="J107" s="353"/>
      <c r="K107" s="353"/>
      <c r="L107" s="353"/>
      <c r="M107" s="353">
        <f>F107</f>
        <v>17</v>
      </c>
      <c r="N107" s="405"/>
      <c r="O107" s="352"/>
    </row>
    <row r="108" spans="1:15">
      <c r="A108" s="354"/>
      <c r="B108" s="354"/>
      <c r="C108" s="355"/>
      <c r="D108" s="356"/>
      <c r="E108" s="362"/>
      <c r="F108" s="358"/>
      <c r="G108" s="359"/>
      <c r="H108" s="360"/>
      <c r="I108" s="360"/>
      <c r="J108" s="360"/>
      <c r="K108" s="360"/>
      <c r="L108" s="360"/>
      <c r="M108" s="360"/>
      <c r="N108" s="405"/>
      <c r="O108" s="352"/>
    </row>
    <row r="109" spans="1:15" ht="31.5">
      <c r="A109" s="339" t="s">
        <v>1325</v>
      </c>
      <c r="B109" s="339" t="s">
        <v>3</v>
      </c>
      <c r="C109" s="340" t="s">
        <v>220</v>
      </c>
      <c r="D109" s="341" t="s">
        <v>221</v>
      </c>
      <c r="E109" s="342" t="s">
        <v>180</v>
      </c>
      <c r="F109" s="343"/>
      <c r="G109" s="344"/>
      <c r="H109" s="345"/>
      <c r="I109" s="345"/>
      <c r="J109" s="345"/>
      <c r="K109" s="345"/>
      <c r="L109" s="345"/>
      <c r="M109" s="346">
        <f>SUM(M110:M111)</f>
        <v>28</v>
      </c>
      <c r="N109" s="408"/>
      <c r="O109" s="409"/>
    </row>
    <row r="110" spans="1:15">
      <c r="A110" s="347"/>
      <c r="B110" s="347"/>
      <c r="C110" s="348"/>
      <c r="D110" s="421" t="s">
        <v>1405</v>
      </c>
      <c r="E110" s="422"/>
      <c r="F110" s="423">
        <v>28</v>
      </c>
      <c r="G110" s="352"/>
      <c r="H110" s="353"/>
      <c r="I110" s="353"/>
      <c r="J110" s="353"/>
      <c r="K110" s="353"/>
      <c r="L110" s="353"/>
      <c r="M110" s="353">
        <f>F110</f>
        <v>28</v>
      </c>
      <c r="N110" s="405"/>
      <c r="O110" s="352"/>
    </row>
    <row r="111" spans="1:15">
      <c r="A111" s="354"/>
      <c r="B111" s="354"/>
      <c r="C111" s="355"/>
      <c r="D111" s="356"/>
      <c r="E111" s="362"/>
      <c r="F111" s="358"/>
      <c r="G111" s="359"/>
      <c r="H111" s="360"/>
      <c r="I111" s="360"/>
      <c r="J111" s="360"/>
      <c r="K111" s="360"/>
      <c r="L111" s="360"/>
      <c r="M111" s="360"/>
      <c r="N111" s="405"/>
      <c r="O111" s="352"/>
    </row>
    <row r="112" spans="1:15" ht="31.5">
      <c r="A112" s="339" t="s">
        <v>1326</v>
      </c>
      <c r="B112" s="339" t="s">
        <v>3</v>
      </c>
      <c r="C112" s="340" t="s">
        <v>336</v>
      </c>
      <c r="D112" s="341" t="s">
        <v>337</v>
      </c>
      <c r="E112" s="342" t="s">
        <v>180</v>
      </c>
      <c r="F112" s="343"/>
      <c r="G112" s="344"/>
      <c r="H112" s="345"/>
      <c r="I112" s="345"/>
      <c r="J112" s="345"/>
      <c r="K112" s="345"/>
      <c r="L112" s="345"/>
      <c r="M112" s="346">
        <f>SUM(M113:M114)</f>
        <v>39</v>
      </c>
      <c r="N112" s="408"/>
      <c r="O112" s="409"/>
    </row>
    <row r="113" spans="1:15">
      <c r="A113" s="347"/>
      <c r="B113" s="347"/>
      <c r="C113" s="348"/>
      <c r="D113" s="421" t="s">
        <v>1405</v>
      </c>
      <c r="E113" s="422"/>
      <c r="F113" s="423">
        <v>39</v>
      </c>
      <c r="G113" s="352"/>
      <c r="H113" s="353"/>
      <c r="I113" s="353"/>
      <c r="J113" s="353"/>
      <c r="K113" s="353"/>
      <c r="L113" s="353"/>
      <c r="M113" s="353">
        <f>F113</f>
        <v>39</v>
      </c>
      <c r="N113" s="405"/>
      <c r="O113" s="352"/>
    </row>
    <row r="114" spans="1:15">
      <c r="A114" s="354"/>
      <c r="B114" s="354"/>
      <c r="C114" s="355"/>
      <c r="D114" s="356"/>
      <c r="E114" s="362"/>
      <c r="F114" s="358"/>
      <c r="G114" s="359"/>
      <c r="H114" s="360"/>
      <c r="I114" s="360"/>
      <c r="J114" s="360"/>
      <c r="K114" s="360"/>
      <c r="L114" s="360"/>
      <c r="M114" s="360"/>
      <c r="N114" s="405"/>
      <c r="O114" s="352"/>
    </row>
    <row r="115" spans="1:15" ht="31.5">
      <c r="A115" s="339" t="s">
        <v>1327</v>
      </c>
      <c r="B115" s="339" t="s">
        <v>3</v>
      </c>
      <c r="C115" s="340" t="s">
        <v>855</v>
      </c>
      <c r="D115" s="341" t="s">
        <v>1410</v>
      </c>
      <c r="E115" s="342" t="s">
        <v>180</v>
      </c>
      <c r="F115" s="343"/>
      <c r="G115" s="344"/>
      <c r="H115" s="345"/>
      <c r="I115" s="345"/>
      <c r="J115" s="345"/>
      <c r="K115" s="345"/>
      <c r="L115" s="345"/>
      <c r="M115" s="346">
        <f>SUM(M116:M117)</f>
        <v>1624</v>
      </c>
      <c r="N115" s="408"/>
      <c r="O115" s="409"/>
    </row>
    <row r="116" spans="1:15">
      <c r="A116" s="347"/>
      <c r="B116" s="347"/>
      <c r="C116" s="348"/>
      <c r="D116" s="421" t="s">
        <v>1405</v>
      </c>
      <c r="E116" s="422"/>
      <c r="F116" s="423">
        <v>1624</v>
      </c>
      <c r="G116" s="352"/>
      <c r="H116" s="353"/>
      <c r="I116" s="353"/>
      <c r="J116" s="353"/>
      <c r="K116" s="353"/>
      <c r="L116" s="353"/>
      <c r="M116" s="353">
        <f>F116</f>
        <v>1624</v>
      </c>
      <c r="N116" s="405"/>
      <c r="O116" s="352"/>
    </row>
    <row r="117" spans="1:15">
      <c r="A117" s="354"/>
      <c r="B117" s="354"/>
      <c r="C117" s="355"/>
      <c r="D117" s="356"/>
      <c r="E117" s="362"/>
      <c r="F117" s="358"/>
      <c r="G117" s="359"/>
      <c r="H117" s="360"/>
      <c r="I117" s="360"/>
      <c r="J117" s="360"/>
      <c r="K117" s="360"/>
      <c r="L117" s="360"/>
      <c r="M117" s="360"/>
      <c r="N117" s="405"/>
      <c r="O117" s="352"/>
    </row>
    <row r="118" spans="1:15">
      <c r="A118" s="339" t="s">
        <v>1328</v>
      </c>
      <c r="B118" s="339" t="s">
        <v>160</v>
      </c>
      <c r="C118" s="340" t="s">
        <v>861</v>
      </c>
      <c r="D118" s="341" t="s">
        <v>862</v>
      </c>
      <c r="E118" s="342" t="s">
        <v>167</v>
      </c>
      <c r="F118" s="343"/>
      <c r="G118" s="344"/>
      <c r="H118" s="345"/>
      <c r="I118" s="345"/>
      <c r="J118" s="345"/>
      <c r="K118" s="345"/>
      <c r="L118" s="345"/>
      <c r="M118" s="346">
        <f>SUM(M119:M121)</f>
        <v>114</v>
      </c>
      <c r="N118" s="408"/>
      <c r="O118" s="409"/>
    </row>
    <row r="119" spans="1:15">
      <c r="A119" s="347"/>
      <c r="B119" s="347"/>
      <c r="C119" s="348"/>
      <c r="D119" s="421" t="s">
        <v>1403</v>
      </c>
      <c r="E119" s="422"/>
      <c r="F119" s="423">
        <f>57+14</f>
        <v>71</v>
      </c>
      <c r="G119" s="352"/>
      <c r="H119" s="353"/>
      <c r="I119" s="353"/>
      <c r="J119" s="353"/>
      <c r="K119" s="353"/>
      <c r="L119" s="353"/>
      <c r="M119" s="353">
        <f>F119</f>
        <v>71</v>
      </c>
      <c r="N119" s="405"/>
      <c r="O119" s="352"/>
    </row>
    <row r="120" spans="1:15">
      <c r="A120" s="347"/>
      <c r="B120" s="347"/>
      <c r="C120" s="348"/>
      <c r="D120" s="421" t="s">
        <v>1404</v>
      </c>
      <c r="E120" s="422"/>
      <c r="F120" s="423">
        <f>36+7</f>
        <v>43</v>
      </c>
      <c r="G120" s="352"/>
      <c r="H120" s="353"/>
      <c r="I120" s="353"/>
      <c r="J120" s="353"/>
      <c r="K120" s="353"/>
      <c r="L120" s="353"/>
      <c r="M120" s="353">
        <f>F120</f>
        <v>43</v>
      </c>
      <c r="N120" s="405"/>
      <c r="O120" s="352"/>
    </row>
    <row r="121" spans="1:15">
      <c r="A121" s="354"/>
      <c r="B121" s="354"/>
      <c r="C121" s="355"/>
      <c r="D121" s="356"/>
      <c r="E121" s="362"/>
      <c r="F121" s="358"/>
      <c r="G121" s="359"/>
      <c r="H121" s="360"/>
      <c r="I121" s="360"/>
      <c r="J121" s="360"/>
      <c r="K121" s="360"/>
      <c r="L121" s="360"/>
      <c r="M121" s="360"/>
      <c r="N121" s="405"/>
      <c r="O121" s="352"/>
    </row>
    <row r="122" spans="1:15">
      <c r="A122" s="339" t="s">
        <v>1329</v>
      </c>
      <c r="B122" s="339" t="s">
        <v>3</v>
      </c>
      <c r="C122" s="340" t="s">
        <v>348</v>
      </c>
      <c r="D122" s="341" t="s">
        <v>349</v>
      </c>
      <c r="E122" s="342" t="s">
        <v>163</v>
      </c>
      <c r="F122" s="343"/>
      <c r="G122" s="344"/>
      <c r="H122" s="345"/>
      <c r="I122" s="345"/>
      <c r="J122" s="345"/>
      <c r="K122" s="345"/>
      <c r="L122" s="345"/>
      <c r="M122" s="346">
        <f>SUM(M123:M124)</f>
        <v>1</v>
      </c>
      <c r="N122" s="408"/>
      <c r="O122" s="409"/>
    </row>
    <row r="123" spans="1:15">
      <c r="A123" s="347"/>
      <c r="B123" s="347"/>
      <c r="C123" s="348"/>
      <c r="D123" s="421" t="s">
        <v>1411</v>
      </c>
      <c r="E123" s="422"/>
      <c r="F123" s="423">
        <v>1</v>
      </c>
      <c r="G123" s="352"/>
      <c r="H123" s="353"/>
      <c r="I123" s="353"/>
      <c r="J123" s="353"/>
      <c r="K123" s="353"/>
      <c r="L123" s="353"/>
      <c r="M123" s="353">
        <f>F123</f>
        <v>1</v>
      </c>
      <c r="N123" s="405"/>
      <c r="O123" s="352"/>
    </row>
    <row r="124" spans="1:15">
      <c r="A124" s="354"/>
      <c r="B124" s="354"/>
      <c r="C124" s="355"/>
      <c r="D124" s="356"/>
      <c r="E124" s="362"/>
      <c r="F124" s="358"/>
      <c r="G124" s="359"/>
      <c r="H124" s="360"/>
      <c r="I124" s="360"/>
      <c r="J124" s="360"/>
      <c r="K124" s="360"/>
      <c r="L124" s="360"/>
      <c r="M124" s="360"/>
      <c r="N124" s="405"/>
      <c r="O124" s="352"/>
    </row>
    <row r="125" spans="1:15" ht="31.5">
      <c r="A125" s="339" t="s">
        <v>1330</v>
      </c>
      <c r="B125" s="339" t="s">
        <v>2</v>
      </c>
      <c r="C125" s="340">
        <v>91980</v>
      </c>
      <c r="D125" s="341" t="s">
        <v>865</v>
      </c>
      <c r="E125" s="342" t="s">
        <v>167</v>
      </c>
      <c r="F125" s="343"/>
      <c r="G125" s="344"/>
      <c r="H125" s="345"/>
      <c r="I125" s="345"/>
      <c r="J125" s="345"/>
      <c r="K125" s="345"/>
      <c r="L125" s="345"/>
      <c r="M125" s="346">
        <f>SUM(M126:M128)</f>
        <v>34</v>
      </c>
      <c r="N125" s="408"/>
      <c r="O125" s="409"/>
    </row>
    <row r="126" spans="1:15">
      <c r="A126" s="347"/>
      <c r="B126" s="347"/>
      <c r="C126" s="348"/>
      <c r="D126" s="421" t="s">
        <v>1403</v>
      </c>
      <c r="E126" s="422"/>
      <c r="F126" s="423">
        <v>21</v>
      </c>
      <c r="G126" s="352"/>
      <c r="H126" s="353"/>
      <c r="I126" s="353"/>
      <c r="J126" s="353"/>
      <c r="K126" s="353"/>
      <c r="L126" s="353"/>
      <c r="M126" s="353">
        <f>F126</f>
        <v>21</v>
      </c>
      <c r="N126" s="405"/>
      <c r="O126" s="352"/>
    </row>
    <row r="127" spans="1:15">
      <c r="A127" s="347"/>
      <c r="B127" s="347"/>
      <c r="C127" s="348"/>
      <c r="D127" s="421" t="s">
        <v>1404</v>
      </c>
      <c r="E127" s="422"/>
      <c r="F127" s="423">
        <v>13</v>
      </c>
      <c r="G127" s="352"/>
      <c r="H127" s="353"/>
      <c r="I127" s="353"/>
      <c r="J127" s="353"/>
      <c r="K127" s="353"/>
      <c r="L127" s="353"/>
      <c r="M127" s="353">
        <f>F127</f>
        <v>13</v>
      </c>
      <c r="N127" s="405"/>
      <c r="O127" s="352"/>
    </row>
    <row r="128" spans="1:15">
      <c r="A128" s="354"/>
      <c r="B128" s="354"/>
      <c r="C128" s="355"/>
      <c r="D128" s="356"/>
      <c r="E128" s="362"/>
      <c r="F128" s="358"/>
      <c r="G128" s="359"/>
      <c r="H128" s="360"/>
      <c r="I128" s="360"/>
      <c r="J128" s="360"/>
      <c r="K128" s="360"/>
      <c r="L128" s="360"/>
      <c r="M128" s="360"/>
      <c r="N128" s="405"/>
      <c r="O128" s="352"/>
    </row>
    <row r="129" spans="1:15" ht="31.5">
      <c r="A129" s="339" t="s">
        <v>1331</v>
      </c>
      <c r="B129" s="339" t="s">
        <v>2</v>
      </c>
      <c r="C129" s="340">
        <v>91998</v>
      </c>
      <c r="D129" s="341" t="s">
        <v>867</v>
      </c>
      <c r="E129" s="342" t="s">
        <v>167</v>
      </c>
      <c r="F129" s="343"/>
      <c r="G129" s="344"/>
      <c r="H129" s="345"/>
      <c r="I129" s="345"/>
      <c r="J129" s="345"/>
      <c r="K129" s="345"/>
      <c r="L129" s="345"/>
      <c r="M129" s="346">
        <f>SUM(M130:M133)</f>
        <v>94</v>
      </c>
      <c r="N129" s="408"/>
      <c r="O129" s="409"/>
    </row>
    <row r="130" spans="1:15">
      <c r="A130" s="347"/>
      <c r="B130" s="347"/>
      <c r="C130" s="348"/>
      <c r="D130" s="421" t="s">
        <v>1404</v>
      </c>
      <c r="E130" s="422"/>
      <c r="F130" s="423">
        <v>4</v>
      </c>
      <c r="G130" s="352"/>
      <c r="H130" s="353"/>
      <c r="I130" s="353"/>
      <c r="J130" s="353"/>
      <c r="K130" s="353"/>
      <c r="L130" s="353"/>
      <c r="M130" s="353">
        <f>F130</f>
        <v>4</v>
      </c>
      <c r="N130" s="405"/>
      <c r="O130" s="352"/>
    </row>
    <row r="131" spans="1:15">
      <c r="A131" s="347"/>
      <c r="B131" s="347"/>
      <c r="C131" s="348"/>
      <c r="D131" s="421" t="s">
        <v>1406</v>
      </c>
      <c r="E131" s="422"/>
      <c r="F131" s="423">
        <f>10+42</f>
        <v>52</v>
      </c>
      <c r="G131" s="352"/>
      <c r="H131" s="353"/>
      <c r="I131" s="353"/>
      <c r="J131" s="353"/>
      <c r="K131" s="353"/>
      <c r="L131" s="353"/>
      <c r="M131" s="353">
        <f>F131</f>
        <v>52</v>
      </c>
      <c r="N131" s="405"/>
      <c r="O131" s="352"/>
    </row>
    <row r="132" spans="1:15">
      <c r="A132" s="347"/>
      <c r="B132" s="347"/>
      <c r="C132" s="348"/>
      <c r="D132" s="421" t="s">
        <v>1407</v>
      </c>
      <c r="E132" s="422"/>
      <c r="F132" s="423">
        <v>38</v>
      </c>
      <c r="G132" s="352"/>
      <c r="H132" s="353"/>
      <c r="I132" s="353"/>
      <c r="J132" s="353"/>
      <c r="K132" s="353"/>
      <c r="L132" s="353"/>
      <c r="M132" s="353">
        <f>F132</f>
        <v>38</v>
      </c>
      <c r="N132" s="405"/>
      <c r="O132" s="352"/>
    </row>
    <row r="133" spans="1:15">
      <c r="A133" s="354"/>
      <c r="B133" s="354"/>
      <c r="C133" s="355"/>
      <c r="D133" s="356"/>
      <c r="E133" s="362"/>
      <c r="F133" s="358"/>
      <c r="G133" s="359"/>
      <c r="H133" s="360"/>
      <c r="I133" s="360"/>
      <c r="J133" s="360"/>
      <c r="K133" s="360"/>
      <c r="L133" s="360"/>
      <c r="M133" s="360"/>
      <c r="N133" s="405"/>
      <c r="O133" s="352"/>
    </row>
    <row r="134" spans="1:15" ht="31.5">
      <c r="A134" s="339" t="s">
        <v>1332</v>
      </c>
      <c r="B134" s="339" t="s">
        <v>2</v>
      </c>
      <c r="C134" s="340">
        <v>91994</v>
      </c>
      <c r="D134" s="341" t="s">
        <v>869</v>
      </c>
      <c r="E134" s="342" t="s">
        <v>167</v>
      </c>
      <c r="F134" s="343"/>
      <c r="G134" s="344"/>
      <c r="H134" s="345"/>
      <c r="I134" s="345"/>
      <c r="J134" s="345"/>
      <c r="K134" s="345"/>
      <c r="L134" s="345"/>
      <c r="M134" s="346">
        <f>SUM(M135:M139)</f>
        <v>44</v>
      </c>
      <c r="N134" s="408"/>
      <c r="O134" s="409"/>
    </row>
    <row r="135" spans="1:15">
      <c r="A135" s="347"/>
      <c r="B135" s="347"/>
      <c r="C135" s="348"/>
      <c r="D135" s="421" t="s">
        <v>1403</v>
      </c>
      <c r="E135" s="422"/>
      <c r="F135" s="423">
        <v>21</v>
      </c>
      <c r="G135" s="352"/>
      <c r="H135" s="353"/>
      <c r="I135" s="353"/>
      <c r="J135" s="353"/>
      <c r="K135" s="353"/>
      <c r="L135" s="353"/>
      <c r="M135" s="353">
        <f>F135</f>
        <v>21</v>
      </c>
      <c r="N135" s="405"/>
      <c r="O135" s="352"/>
    </row>
    <row r="136" spans="1:15">
      <c r="A136" s="347"/>
      <c r="B136" s="347"/>
      <c r="C136" s="348"/>
      <c r="D136" s="421" t="s">
        <v>1404</v>
      </c>
      <c r="E136" s="422"/>
      <c r="F136" s="423">
        <v>8</v>
      </c>
      <c r="G136" s="352"/>
      <c r="H136" s="353"/>
      <c r="I136" s="353"/>
      <c r="J136" s="353"/>
      <c r="K136" s="353"/>
      <c r="L136" s="353"/>
      <c r="M136" s="353">
        <f>F136</f>
        <v>8</v>
      </c>
      <c r="N136" s="405"/>
      <c r="O136" s="352"/>
    </row>
    <row r="137" spans="1:15">
      <c r="A137" s="347"/>
      <c r="B137" s="347"/>
      <c r="C137" s="348"/>
      <c r="D137" s="421" t="s">
        <v>1406</v>
      </c>
      <c r="E137" s="422"/>
      <c r="F137" s="423">
        <v>12</v>
      </c>
      <c r="G137" s="352"/>
      <c r="H137" s="353"/>
      <c r="I137" s="353"/>
      <c r="J137" s="353"/>
      <c r="K137" s="353"/>
      <c r="L137" s="353"/>
      <c r="M137" s="353">
        <f>F137</f>
        <v>12</v>
      </c>
      <c r="N137" s="405"/>
      <c r="O137" s="352"/>
    </row>
    <row r="138" spans="1:15">
      <c r="A138" s="347"/>
      <c r="B138" s="347"/>
      <c r="C138" s="348"/>
      <c r="D138" s="421" t="s">
        <v>1407</v>
      </c>
      <c r="E138" s="422"/>
      <c r="F138" s="423">
        <v>3</v>
      </c>
      <c r="G138" s="352"/>
      <c r="H138" s="353"/>
      <c r="I138" s="353"/>
      <c r="J138" s="353"/>
      <c r="K138" s="353"/>
      <c r="L138" s="353"/>
      <c r="M138" s="353">
        <f>F138</f>
        <v>3</v>
      </c>
      <c r="N138" s="405"/>
      <c r="O138" s="352"/>
    </row>
    <row r="139" spans="1:15">
      <c r="A139" s="354"/>
      <c r="B139" s="354"/>
      <c r="C139" s="355"/>
      <c r="D139" s="356"/>
      <c r="E139" s="362"/>
      <c r="F139" s="358"/>
      <c r="G139" s="359"/>
      <c r="H139" s="360"/>
      <c r="I139" s="360"/>
      <c r="J139" s="360"/>
      <c r="K139" s="360"/>
      <c r="L139" s="360"/>
      <c r="M139" s="360"/>
      <c r="N139" s="405"/>
      <c r="O139" s="352"/>
    </row>
    <row r="140" spans="1:15" ht="47.25">
      <c r="A140" s="339" t="s">
        <v>1333</v>
      </c>
      <c r="B140" s="339" t="s">
        <v>3</v>
      </c>
      <c r="C140" s="340" t="s">
        <v>874</v>
      </c>
      <c r="D140" s="341" t="s">
        <v>875</v>
      </c>
      <c r="E140" s="342" t="s">
        <v>167</v>
      </c>
      <c r="F140" s="343"/>
      <c r="G140" s="344"/>
      <c r="H140" s="345"/>
      <c r="I140" s="345"/>
      <c r="J140" s="345"/>
      <c r="K140" s="345"/>
      <c r="L140" s="345"/>
      <c r="M140" s="346">
        <f>SUM(M141:M143)</f>
        <v>7</v>
      </c>
      <c r="N140" s="408"/>
      <c r="O140" s="409"/>
    </row>
    <row r="141" spans="1:15">
      <c r="A141" s="347"/>
      <c r="B141" s="347"/>
      <c r="C141" s="348"/>
      <c r="D141" s="421" t="s">
        <v>1406</v>
      </c>
      <c r="E141" s="422"/>
      <c r="F141" s="423">
        <v>5</v>
      </c>
      <c r="G141" s="352"/>
      <c r="H141" s="353"/>
      <c r="I141" s="353"/>
      <c r="J141" s="353"/>
      <c r="K141" s="353"/>
      <c r="L141" s="353"/>
      <c r="M141" s="353">
        <f>F141</f>
        <v>5</v>
      </c>
      <c r="N141" s="405"/>
      <c r="O141" s="352"/>
    </row>
    <row r="142" spans="1:15">
      <c r="A142" s="347"/>
      <c r="B142" s="347"/>
      <c r="C142" s="348"/>
      <c r="D142" s="421" t="s">
        <v>1407</v>
      </c>
      <c r="E142" s="422"/>
      <c r="F142" s="423">
        <v>2</v>
      </c>
      <c r="G142" s="352"/>
      <c r="H142" s="353"/>
      <c r="I142" s="353"/>
      <c r="J142" s="353"/>
      <c r="K142" s="353"/>
      <c r="L142" s="353"/>
      <c r="M142" s="353">
        <f>F142</f>
        <v>2</v>
      </c>
      <c r="N142" s="405"/>
      <c r="O142" s="352"/>
    </row>
    <row r="143" spans="1:15">
      <c r="A143" s="354"/>
      <c r="B143" s="354"/>
      <c r="C143" s="355"/>
      <c r="D143" s="356"/>
      <c r="E143" s="362"/>
      <c r="F143" s="358"/>
      <c r="G143" s="359"/>
      <c r="H143" s="360"/>
      <c r="I143" s="360"/>
      <c r="J143" s="360"/>
      <c r="K143" s="360"/>
      <c r="L143" s="360"/>
      <c r="M143" s="360"/>
      <c r="N143" s="405"/>
      <c r="O143" s="352"/>
    </row>
    <row r="144" spans="1:15" ht="31.5">
      <c r="A144" s="339" t="s">
        <v>1334</v>
      </c>
      <c r="B144" s="339" t="s">
        <v>3</v>
      </c>
      <c r="C144" s="340" t="s">
        <v>877</v>
      </c>
      <c r="D144" s="341" t="s">
        <v>878</v>
      </c>
      <c r="E144" s="342" t="s">
        <v>167</v>
      </c>
      <c r="F144" s="343"/>
      <c r="G144" s="344"/>
      <c r="H144" s="345"/>
      <c r="I144" s="345"/>
      <c r="J144" s="345"/>
      <c r="K144" s="345"/>
      <c r="L144" s="345"/>
      <c r="M144" s="346">
        <f>SUM(M145:M148)</f>
        <v>41</v>
      </c>
      <c r="N144" s="408"/>
      <c r="O144" s="409"/>
    </row>
    <row r="145" spans="1:15">
      <c r="A145" s="347"/>
      <c r="B145" s="347"/>
      <c r="C145" s="348"/>
      <c r="D145" s="421" t="s">
        <v>1404</v>
      </c>
      <c r="E145" s="422"/>
      <c r="F145" s="423">
        <v>9</v>
      </c>
      <c r="G145" s="352"/>
      <c r="H145" s="353"/>
      <c r="I145" s="353"/>
      <c r="J145" s="353"/>
      <c r="K145" s="353"/>
      <c r="L145" s="353"/>
      <c r="M145" s="353">
        <f>F145</f>
        <v>9</v>
      </c>
      <c r="N145" s="405"/>
      <c r="O145" s="352"/>
    </row>
    <row r="146" spans="1:15">
      <c r="A146" s="347"/>
      <c r="B146" s="347"/>
      <c r="C146" s="348"/>
      <c r="D146" s="421" t="s">
        <v>1406</v>
      </c>
      <c r="E146" s="422"/>
      <c r="F146" s="423">
        <v>27</v>
      </c>
      <c r="G146" s="352"/>
      <c r="H146" s="353"/>
      <c r="I146" s="353"/>
      <c r="J146" s="353"/>
      <c r="K146" s="353"/>
      <c r="L146" s="353"/>
      <c r="M146" s="353">
        <f>F146</f>
        <v>27</v>
      </c>
      <c r="N146" s="405"/>
      <c r="O146" s="352"/>
    </row>
    <row r="147" spans="1:15">
      <c r="A147" s="347"/>
      <c r="B147" s="347"/>
      <c r="C147" s="348"/>
      <c r="D147" s="421" t="s">
        <v>1407</v>
      </c>
      <c r="E147" s="422"/>
      <c r="F147" s="423">
        <v>5</v>
      </c>
      <c r="G147" s="352"/>
      <c r="H147" s="353"/>
      <c r="I147" s="353"/>
      <c r="J147" s="353"/>
      <c r="K147" s="353"/>
      <c r="L147" s="353"/>
      <c r="M147" s="353">
        <f>F147</f>
        <v>5</v>
      </c>
      <c r="N147" s="405"/>
      <c r="O147" s="352"/>
    </row>
    <row r="148" spans="1:15">
      <c r="A148" s="354"/>
      <c r="B148" s="354"/>
      <c r="C148" s="355"/>
      <c r="D148" s="356"/>
      <c r="E148" s="362"/>
      <c r="F148" s="358"/>
      <c r="G148" s="359"/>
      <c r="H148" s="360"/>
      <c r="I148" s="360"/>
      <c r="J148" s="360"/>
      <c r="K148" s="360"/>
      <c r="L148" s="360"/>
      <c r="M148" s="360"/>
      <c r="N148" s="405"/>
      <c r="O148" s="352"/>
    </row>
    <row r="149" spans="1:15" ht="31.5">
      <c r="A149" s="339" t="s">
        <v>1335</v>
      </c>
      <c r="B149" s="339" t="s">
        <v>3</v>
      </c>
      <c r="C149" s="340" t="s">
        <v>880</v>
      </c>
      <c r="D149" s="341" t="s">
        <v>881</v>
      </c>
      <c r="E149" s="342" t="s">
        <v>167</v>
      </c>
      <c r="F149" s="343"/>
      <c r="G149" s="344"/>
      <c r="H149" s="345"/>
      <c r="I149" s="345"/>
      <c r="J149" s="345"/>
      <c r="K149" s="345"/>
      <c r="L149" s="345"/>
      <c r="M149" s="346">
        <f>SUM(M150:M154)</f>
        <v>69</v>
      </c>
      <c r="N149" s="408"/>
      <c r="O149" s="409"/>
    </row>
    <row r="150" spans="1:15">
      <c r="A150" s="347"/>
      <c r="B150" s="347"/>
      <c r="C150" s="348"/>
      <c r="D150" s="421" t="s">
        <v>1403</v>
      </c>
      <c r="E150" s="422"/>
      <c r="F150" s="423">
        <v>21</v>
      </c>
      <c r="G150" s="352"/>
      <c r="H150" s="353"/>
      <c r="I150" s="353"/>
      <c r="J150" s="353"/>
      <c r="K150" s="353"/>
      <c r="L150" s="353"/>
      <c r="M150" s="353">
        <f>F150</f>
        <v>21</v>
      </c>
      <c r="N150" s="405"/>
      <c r="O150" s="352"/>
    </row>
    <row r="151" spans="1:15">
      <c r="A151" s="347"/>
      <c r="B151" s="347"/>
      <c r="C151" s="348"/>
      <c r="D151" s="421" t="s">
        <v>1404</v>
      </c>
      <c r="E151" s="422"/>
      <c r="F151" s="423">
        <v>8</v>
      </c>
      <c r="G151" s="352"/>
      <c r="H151" s="353"/>
      <c r="I151" s="353"/>
      <c r="J151" s="353"/>
      <c r="K151" s="353"/>
      <c r="L151" s="353"/>
      <c r="M151" s="353">
        <f>F151</f>
        <v>8</v>
      </c>
      <c r="N151" s="405"/>
      <c r="O151" s="352"/>
    </row>
    <row r="152" spans="1:15">
      <c r="A152" s="347"/>
      <c r="B152" s="347"/>
      <c r="C152" s="348"/>
      <c r="D152" s="421" t="s">
        <v>1406</v>
      </c>
      <c r="E152" s="422"/>
      <c r="F152" s="423">
        <v>21</v>
      </c>
      <c r="G152" s="352"/>
      <c r="H152" s="353"/>
      <c r="I152" s="353"/>
      <c r="J152" s="353"/>
      <c r="K152" s="353"/>
      <c r="L152" s="353"/>
      <c r="M152" s="353">
        <f>F152</f>
        <v>21</v>
      </c>
      <c r="N152" s="405"/>
      <c r="O152" s="352"/>
    </row>
    <row r="153" spans="1:15">
      <c r="A153" s="347"/>
      <c r="B153" s="347"/>
      <c r="C153" s="348"/>
      <c r="D153" s="421" t="s">
        <v>1407</v>
      </c>
      <c r="E153" s="422"/>
      <c r="F153" s="423">
        <v>19</v>
      </c>
      <c r="G153" s="352"/>
      <c r="H153" s="353"/>
      <c r="I153" s="353"/>
      <c r="J153" s="353"/>
      <c r="K153" s="353"/>
      <c r="L153" s="353"/>
      <c r="M153" s="353">
        <f>F153</f>
        <v>19</v>
      </c>
      <c r="N153" s="405"/>
      <c r="O153" s="352"/>
    </row>
    <row r="154" spans="1:15">
      <c r="A154" s="354"/>
      <c r="B154" s="354"/>
      <c r="C154" s="355"/>
      <c r="D154" s="356"/>
      <c r="E154" s="362"/>
      <c r="F154" s="358"/>
      <c r="G154" s="359"/>
      <c r="H154" s="360"/>
      <c r="I154" s="360"/>
      <c r="J154" s="360"/>
      <c r="K154" s="360"/>
      <c r="L154" s="360"/>
      <c r="M154" s="360"/>
      <c r="N154" s="405"/>
      <c r="O154" s="352"/>
    </row>
    <row r="155" spans="1:15" ht="31.5">
      <c r="A155" s="339" t="s">
        <v>1336</v>
      </c>
      <c r="B155" s="339" t="s">
        <v>2</v>
      </c>
      <c r="C155" s="340">
        <v>91941</v>
      </c>
      <c r="D155" s="341" t="s">
        <v>1412</v>
      </c>
      <c r="E155" s="342" t="s">
        <v>167</v>
      </c>
      <c r="F155" s="343"/>
      <c r="G155" s="344"/>
      <c r="H155" s="345"/>
      <c r="I155" s="345"/>
      <c r="J155" s="345"/>
      <c r="K155" s="345"/>
      <c r="L155" s="345"/>
      <c r="M155" s="346">
        <f>SUM(M156:M159)</f>
        <v>56</v>
      </c>
      <c r="N155" s="408"/>
      <c r="O155" s="409"/>
    </row>
    <row r="156" spans="1:15">
      <c r="A156" s="347"/>
      <c r="B156" s="347"/>
      <c r="C156" s="348"/>
      <c r="D156" s="421" t="s">
        <v>1404</v>
      </c>
      <c r="E156" s="422"/>
      <c r="F156" s="423">
        <v>4</v>
      </c>
      <c r="G156" s="352"/>
      <c r="H156" s="353"/>
      <c r="I156" s="353"/>
      <c r="J156" s="353"/>
      <c r="K156" s="353"/>
      <c r="L156" s="353"/>
      <c r="M156" s="353">
        <f>F156</f>
        <v>4</v>
      </c>
      <c r="N156" s="405"/>
      <c r="O156" s="352"/>
    </row>
    <row r="157" spans="1:15">
      <c r="A157" s="347"/>
      <c r="B157" s="347"/>
      <c r="C157" s="348"/>
      <c r="D157" s="421" t="s">
        <v>1406</v>
      </c>
      <c r="E157" s="422"/>
      <c r="F157" s="423">
        <v>31</v>
      </c>
      <c r="G157" s="352"/>
      <c r="H157" s="353"/>
      <c r="I157" s="353"/>
      <c r="J157" s="353"/>
      <c r="K157" s="353"/>
      <c r="L157" s="353"/>
      <c r="M157" s="353">
        <f>F157</f>
        <v>31</v>
      </c>
      <c r="N157" s="405"/>
      <c r="O157" s="352"/>
    </row>
    <row r="158" spans="1:15">
      <c r="A158" s="347"/>
      <c r="B158" s="347"/>
      <c r="C158" s="348"/>
      <c r="D158" s="421" t="s">
        <v>1407</v>
      </c>
      <c r="E158" s="422"/>
      <c r="F158" s="423">
        <v>21</v>
      </c>
      <c r="G158" s="352"/>
      <c r="H158" s="353"/>
      <c r="I158" s="353"/>
      <c r="J158" s="353"/>
      <c r="K158" s="353"/>
      <c r="L158" s="353"/>
      <c r="M158" s="353">
        <f>F158</f>
        <v>21</v>
      </c>
      <c r="N158" s="405"/>
      <c r="O158" s="352"/>
    </row>
    <row r="159" spans="1:15">
      <c r="A159" s="354"/>
      <c r="B159" s="354"/>
      <c r="C159" s="355"/>
      <c r="D159" s="356"/>
      <c r="E159" s="362"/>
      <c r="F159" s="358"/>
      <c r="G159" s="359"/>
      <c r="H159" s="360"/>
      <c r="I159" s="360"/>
      <c r="J159" s="360"/>
      <c r="K159" s="360"/>
      <c r="L159" s="360"/>
      <c r="M159" s="360"/>
      <c r="N159" s="405"/>
      <c r="O159" s="352"/>
    </row>
    <row r="160" spans="1:15" ht="31.5">
      <c r="A160" s="339" t="s">
        <v>1337</v>
      </c>
      <c r="B160" s="339" t="s">
        <v>2</v>
      </c>
      <c r="C160" s="340">
        <v>91940</v>
      </c>
      <c r="D160" s="341" t="s">
        <v>1413</v>
      </c>
      <c r="E160" s="342" t="s">
        <v>167</v>
      </c>
      <c r="F160" s="343"/>
      <c r="G160" s="344"/>
      <c r="H160" s="345"/>
      <c r="I160" s="345"/>
      <c r="J160" s="345"/>
      <c r="K160" s="345"/>
      <c r="L160" s="345"/>
      <c r="M160" s="346">
        <f>SUM(M161:M165)</f>
        <v>54</v>
      </c>
      <c r="N160" s="408"/>
      <c r="O160" s="409"/>
    </row>
    <row r="161" spans="1:15">
      <c r="A161" s="347"/>
      <c r="B161" s="347"/>
      <c r="C161" s="348"/>
      <c r="D161" s="421" t="s">
        <v>1403</v>
      </c>
      <c r="E161" s="422"/>
      <c r="F161" s="423">
        <v>21</v>
      </c>
      <c r="G161" s="352"/>
      <c r="H161" s="353"/>
      <c r="I161" s="353"/>
      <c r="J161" s="353"/>
      <c r="K161" s="353"/>
      <c r="L161" s="353"/>
      <c r="M161" s="353">
        <f>F161</f>
        <v>21</v>
      </c>
      <c r="N161" s="405"/>
      <c r="O161" s="352"/>
    </row>
    <row r="162" spans="1:15">
      <c r="A162" s="347"/>
      <c r="B162" s="347"/>
      <c r="C162" s="348"/>
      <c r="D162" s="421" t="s">
        <v>1404</v>
      </c>
      <c r="E162" s="422"/>
      <c r="F162" s="423">
        <v>13</v>
      </c>
      <c r="G162" s="352"/>
      <c r="H162" s="353"/>
      <c r="I162" s="353"/>
      <c r="J162" s="353"/>
      <c r="K162" s="353"/>
      <c r="L162" s="353"/>
      <c r="M162" s="353">
        <f>F162</f>
        <v>13</v>
      </c>
      <c r="N162" s="405"/>
      <c r="O162" s="352"/>
    </row>
    <row r="163" spans="1:15">
      <c r="A163" s="347"/>
      <c r="B163" s="347"/>
      <c r="C163" s="348"/>
      <c r="D163" s="421" t="s">
        <v>1406</v>
      </c>
      <c r="E163" s="422"/>
      <c r="F163" s="423">
        <v>17</v>
      </c>
      <c r="G163" s="352"/>
      <c r="H163" s="353"/>
      <c r="I163" s="353"/>
      <c r="J163" s="353"/>
      <c r="K163" s="353"/>
      <c r="L163" s="353"/>
      <c r="M163" s="353">
        <f>F163</f>
        <v>17</v>
      </c>
      <c r="N163" s="405"/>
      <c r="O163" s="352"/>
    </row>
    <row r="164" spans="1:15">
      <c r="A164" s="347"/>
      <c r="B164" s="347"/>
      <c r="C164" s="348"/>
      <c r="D164" s="421" t="s">
        <v>1407</v>
      </c>
      <c r="E164" s="422"/>
      <c r="F164" s="423">
        <v>3</v>
      </c>
      <c r="G164" s="352"/>
      <c r="H164" s="353"/>
      <c r="I164" s="353"/>
      <c r="J164" s="353"/>
      <c r="K164" s="353"/>
      <c r="L164" s="353"/>
      <c r="M164" s="353">
        <f>F164</f>
        <v>3</v>
      </c>
      <c r="N164" s="405"/>
      <c r="O164" s="352"/>
    </row>
    <row r="165" spans="1:15">
      <c r="A165" s="354"/>
      <c r="B165" s="354"/>
      <c r="C165" s="355"/>
      <c r="D165" s="356"/>
      <c r="E165" s="362"/>
      <c r="F165" s="358"/>
      <c r="G165" s="359"/>
      <c r="H165" s="360"/>
      <c r="I165" s="360"/>
      <c r="J165" s="360"/>
      <c r="K165" s="360"/>
      <c r="L165" s="360"/>
      <c r="M165" s="360"/>
      <c r="N165" s="405"/>
      <c r="O165" s="352"/>
    </row>
    <row r="166" spans="1:15" ht="31.5">
      <c r="A166" s="339" t="s">
        <v>1338</v>
      </c>
      <c r="B166" s="339" t="s">
        <v>2</v>
      </c>
      <c r="C166" s="340">
        <v>91947</v>
      </c>
      <c r="D166" s="341" t="s">
        <v>1414</v>
      </c>
      <c r="E166" s="342" t="s">
        <v>167</v>
      </c>
      <c r="F166" s="343"/>
      <c r="G166" s="344"/>
      <c r="H166" s="345"/>
      <c r="I166" s="345"/>
      <c r="J166" s="345"/>
      <c r="K166" s="345"/>
      <c r="L166" s="345"/>
      <c r="M166" s="346">
        <f>SUM(M167:M170)</f>
        <v>56</v>
      </c>
      <c r="N166" s="408"/>
      <c r="O166" s="409"/>
    </row>
    <row r="167" spans="1:15">
      <c r="A167" s="347"/>
      <c r="B167" s="347"/>
      <c r="C167" s="348"/>
      <c r="D167" s="421" t="s">
        <v>1404</v>
      </c>
      <c r="E167" s="422"/>
      <c r="F167" s="423">
        <v>4</v>
      </c>
      <c r="G167" s="352"/>
      <c r="H167" s="353"/>
      <c r="I167" s="353"/>
      <c r="J167" s="353"/>
      <c r="K167" s="353"/>
      <c r="L167" s="353"/>
      <c r="M167" s="353">
        <f>F167</f>
        <v>4</v>
      </c>
      <c r="N167" s="405"/>
      <c r="O167" s="352"/>
    </row>
    <row r="168" spans="1:15">
      <c r="A168" s="347"/>
      <c r="B168" s="347"/>
      <c r="C168" s="348"/>
      <c r="D168" s="421" t="s">
        <v>1406</v>
      </c>
      <c r="E168" s="422"/>
      <c r="F168" s="423">
        <v>31</v>
      </c>
      <c r="G168" s="352"/>
      <c r="H168" s="353"/>
      <c r="I168" s="353"/>
      <c r="J168" s="353"/>
      <c r="K168" s="353"/>
      <c r="L168" s="353"/>
      <c r="M168" s="353">
        <f>F168</f>
        <v>31</v>
      </c>
      <c r="N168" s="405"/>
      <c r="O168" s="352"/>
    </row>
    <row r="169" spans="1:15">
      <c r="A169" s="347"/>
      <c r="B169" s="347"/>
      <c r="C169" s="348"/>
      <c r="D169" s="421" t="s">
        <v>1407</v>
      </c>
      <c r="E169" s="422"/>
      <c r="F169" s="423">
        <f>21</f>
        <v>21</v>
      </c>
      <c r="G169" s="352"/>
      <c r="H169" s="353"/>
      <c r="I169" s="353"/>
      <c r="J169" s="353"/>
      <c r="K169" s="353"/>
      <c r="L169" s="353"/>
      <c r="M169" s="353">
        <f>F169</f>
        <v>21</v>
      </c>
      <c r="N169" s="405"/>
      <c r="O169" s="352"/>
    </row>
    <row r="170" spans="1:15">
      <c r="A170" s="354"/>
      <c r="B170" s="354"/>
      <c r="C170" s="355"/>
      <c r="D170" s="356"/>
      <c r="E170" s="362"/>
      <c r="F170" s="358"/>
      <c r="G170" s="359"/>
      <c r="H170" s="360"/>
      <c r="I170" s="360"/>
      <c r="J170" s="360"/>
      <c r="K170" s="360"/>
      <c r="L170" s="360"/>
      <c r="M170" s="360"/>
      <c r="N170" s="405"/>
      <c r="O170" s="352"/>
    </row>
    <row r="171" spans="1:15" ht="31.5">
      <c r="A171" s="339" t="s">
        <v>1339</v>
      </c>
      <c r="B171" s="339" t="s">
        <v>2</v>
      </c>
      <c r="C171" s="340">
        <v>91946</v>
      </c>
      <c r="D171" s="341" t="s">
        <v>1415</v>
      </c>
      <c r="E171" s="342" t="s">
        <v>167</v>
      </c>
      <c r="F171" s="343"/>
      <c r="G171" s="344"/>
      <c r="H171" s="345"/>
      <c r="I171" s="345"/>
      <c r="J171" s="345"/>
      <c r="K171" s="345"/>
      <c r="L171" s="345"/>
      <c r="M171" s="346">
        <f>SUM(M172:M176)</f>
        <v>54</v>
      </c>
      <c r="N171" s="408"/>
      <c r="O171" s="409"/>
    </row>
    <row r="172" spans="1:15">
      <c r="A172" s="347"/>
      <c r="B172" s="347"/>
      <c r="C172" s="348"/>
      <c r="D172" s="421" t="s">
        <v>1403</v>
      </c>
      <c r="E172" s="422"/>
      <c r="F172" s="423">
        <v>21</v>
      </c>
      <c r="G172" s="352"/>
      <c r="H172" s="353"/>
      <c r="I172" s="353"/>
      <c r="J172" s="353"/>
      <c r="K172" s="353"/>
      <c r="L172" s="353"/>
      <c r="M172" s="353">
        <f>F172</f>
        <v>21</v>
      </c>
      <c r="N172" s="405"/>
      <c r="O172" s="352"/>
    </row>
    <row r="173" spans="1:15">
      <c r="A173" s="347"/>
      <c r="B173" s="347"/>
      <c r="C173" s="348"/>
      <c r="D173" s="421" t="s">
        <v>1404</v>
      </c>
      <c r="E173" s="422"/>
      <c r="F173" s="423">
        <v>13</v>
      </c>
      <c r="G173" s="352"/>
      <c r="H173" s="353"/>
      <c r="I173" s="353"/>
      <c r="J173" s="353"/>
      <c r="K173" s="353"/>
      <c r="L173" s="353"/>
      <c r="M173" s="353">
        <f>F173</f>
        <v>13</v>
      </c>
      <c r="N173" s="405"/>
      <c r="O173" s="352"/>
    </row>
    <row r="174" spans="1:15">
      <c r="A174" s="347"/>
      <c r="B174" s="347"/>
      <c r="C174" s="348"/>
      <c r="D174" s="421" t="s">
        <v>1406</v>
      </c>
      <c r="E174" s="422"/>
      <c r="F174" s="423">
        <v>17</v>
      </c>
      <c r="G174" s="352"/>
      <c r="H174" s="353"/>
      <c r="I174" s="353"/>
      <c r="J174" s="353"/>
      <c r="K174" s="353"/>
      <c r="L174" s="353"/>
      <c r="M174" s="353">
        <f>F174</f>
        <v>17</v>
      </c>
      <c r="N174" s="405"/>
      <c r="O174" s="352"/>
    </row>
    <row r="175" spans="1:15">
      <c r="A175" s="347"/>
      <c r="B175" s="347"/>
      <c r="C175" s="348"/>
      <c r="D175" s="421" t="s">
        <v>1407</v>
      </c>
      <c r="E175" s="422"/>
      <c r="F175" s="423">
        <v>3</v>
      </c>
      <c r="G175" s="352"/>
      <c r="H175" s="353"/>
      <c r="I175" s="353"/>
      <c r="J175" s="353"/>
      <c r="K175" s="353"/>
      <c r="L175" s="353"/>
      <c r="M175" s="353">
        <f>F175</f>
        <v>3</v>
      </c>
      <c r="N175" s="405"/>
      <c r="O175" s="352"/>
    </row>
    <row r="176" spans="1:15">
      <c r="A176" s="354"/>
      <c r="B176" s="354"/>
      <c r="C176" s="355"/>
      <c r="D176" s="356"/>
      <c r="E176" s="362"/>
      <c r="F176" s="358"/>
      <c r="G176" s="359"/>
      <c r="H176" s="360"/>
      <c r="I176" s="360"/>
      <c r="J176" s="360"/>
      <c r="K176" s="360"/>
      <c r="L176" s="360"/>
      <c r="M176" s="360"/>
      <c r="N176" s="405"/>
      <c r="O176" s="352"/>
    </row>
    <row r="177" spans="1:15" ht="31.5">
      <c r="A177" s="339" t="s">
        <v>1340</v>
      </c>
      <c r="B177" s="339" t="s">
        <v>3</v>
      </c>
      <c r="C177" s="340" t="s">
        <v>1379</v>
      </c>
      <c r="D177" s="341" t="s">
        <v>1380</v>
      </c>
      <c r="E177" s="342" t="s">
        <v>180</v>
      </c>
      <c r="F177" s="343"/>
      <c r="G177" s="344"/>
      <c r="H177" s="345"/>
      <c r="I177" s="345"/>
      <c r="J177" s="345"/>
      <c r="K177" s="345"/>
      <c r="L177" s="345"/>
      <c r="M177" s="346">
        <f>SUM(M178:M179)</f>
        <v>30</v>
      </c>
      <c r="N177" s="408"/>
      <c r="O177" s="409"/>
    </row>
    <row r="178" spans="1:15">
      <c r="A178" s="347"/>
      <c r="B178" s="347"/>
      <c r="C178" s="348"/>
      <c r="D178" s="421" t="s">
        <v>1416</v>
      </c>
      <c r="E178" s="422"/>
      <c r="F178" s="423">
        <v>30</v>
      </c>
      <c r="G178" s="352"/>
      <c r="H178" s="353"/>
      <c r="I178" s="353"/>
      <c r="J178" s="353"/>
      <c r="K178" s="353"/>
      <c r="L178" s="353"/>
      <c r="M178" s="353">
        <f>F178</f>
        <v>30</v>
      </c>
      <c r="N178" s="405"/>
      <c r="O178" s="352"/>
    </row>
    <row r="179" spans="1:15">
      <c r="A179" s="354"/>
      <c r="B179" s="354"/>
      <c r="C179" s="355"/>
      <c r="D179" s="356"/>
      <c r="E179" s="362"/>
      <c r="F179" s="358"/>
      <c r="G179" s="359"/>
      <c r="H179" s="360"/>
      <c r="I179" s="360"/>
      <c r="J179" s="360"/>
      <c r="K179" s="360"/>
      <c r="L179" s="360"/>
      <c r="M179" s="360"/>
      <c r="N179" s="405"/>
      <c r="O179" s="352"/>
    </row>
    <row r="180" spans="1:15" ht="31.5">
      <c r="A180" s="339" t="s">
        <v>1341</v>
      </c>
      <c r="B180" s="339" t="s">
        <v>3</v>
      </c>
      <c r="C180" s="340" t="s">
        <v>1417</v>
      </c>
      <c r="D180" s="341" t="s">
        <v>1418</v>
      </c>
      <c r="E180" s="342" t="s">
        <v>180</v>
      </c>
      <c r="F180" s="343"/>
      <c r="G180" s="344"/>
      <c r="H180" s="345"/>
      <c r="I180" s="345"/>
      <c r="J180" s="345"/>
      <c r="K180" s="345"/>
      <c r="L180" s="345"/>
      <c r="M180" s="346">
        <f>SUM(M181:M183)</f>
        <v>448</v>
      </c>
      <c r="N180" s="408"/>
      <c r="O180" s="409"/>
    </row>
    <row r="181" spans="1:15">
      <c r="A181" s="347"/>
      <c r="B181" s="347"/>
      <c r="C181" s="348"/>
      <c r="D181" s="421" t="s">
        <v>1419</v>
      </c>
      <c r="E181" s="422"/>
      <c r="F181" s="423">
        <v>435</v>
      </c>
      <c r="G181" s="352"/>
      <c r="H181" s="353"/>
      <c r="I181" s="353"/>
      <c r="J181" s="353"/>
      <c r="K181" s="353"/>
      <c r="L181" s="353"/>
      <c r="M181" s="353">
        <f>F181</f>
        <v>435</v>
      </c>
      <c r="N181" s="405"/>
      <c r="O181" s="352"/>
    </row>
    <row r="182" spans="1:15">
      <c r="A182" s="347"/>
      <c r="B182" s="347"/>
      <c r="C182" s="348"/>
      <c r="D182" s="421" t="s">
        <v>1416</v>
      </c>
      <c r="E182" s="422"/>
      <c r="F182" s="423">
        <v>13</v>
      </c>
      <c r="G182" s="352"/>
      <c r="H182" s="353"/>
      <c r="I182" s="353"/>
      <c r="J182" s="353"/>
      <c r="K182" s="353"/>
      <c r="L182" s="353"/>
      <c r="M182" s="353">
        <f>F182</f>
        <v>13</v>
      </c>
      <c r="N182" s="405"/>
      <c r="O182" s="352"/>
    </row>
    <row r="183" spans="1:15">
      <c r="A183" s="354"/>
      <c r="B183" s="354"/>
      <c r="C183" s="355"/>
      <c r="D183" s="356"/>
      <c r="E183" s="362"/>
      <c r="F183" s="358"/>
      <c r="G183" s="359"/>
      <c r="H183" s="360"/>
      <c r="I183" s="360"/>
      <c r="J183" s="360"/>
      <c r="K183" s="360"/>
      <c r="L183" s="360"/>
      <c r="M183" s="360"/>
      <c r="N183" s="405"/>
      <c r="O183" s="352"/>
    </row>
    <row r="184" spans="1:15" ht="31.5">
      <c r="A184" s="339" t="s">
        <v>1342</v>
      </c>
      <c r="B184" s="339" t="s">
        <v>2</v>
      </c>
      <c r="C184" s="340">
        <v>91854</v>
      </c>
      <c r="D184" s="341" t="s">
        <v>1420</v>
      </c>
      <c r="E184" s="342" t="s">
        <v>180</v>
      </c>
      <c r="F184" s="343"/>
      <c r="G184" s="344"/>
      <c r="H184" s="345"/>
      <c r="I184" s="345"/>
      <c r="J184" s="345"/>
      <c r="K184" s="345"/>
      <c r="L184" s="345"/>
      <c r="M184" s="346">
        <f>SUM(M185:M189)</f>
        <v>194.4</v>
      </c>
      <c r="N184" s="408"/>
      <c r="O184" s="409"/>
    </row>
    <row r="185" spans="1:15">
      <c r="A185" s="347"/>
      <c r="B185" s="347"/>
      <c r="C185" s="348"/>
      <c r="D185" s="421" t="s">
        <v>1403</v>
      </c>
      <c r="E185" s="422"/>
      <c r="F185" s="423">
        <f>22*2*1.1</f>
        <v>48.400000000000006</v>
      </c>
      <c r="G185" s="352"/>
      <c r="H185" s="353"/>
      <c r="I185" s="353"/>
      <c r="J185" s="353"/>
      <c r="K185" s="353"/>
      <c r="L185" s="353"/>
      <c r="M185" s="353">
        <f>F185</f>
        <v>48.400000000000006</v>
      </c>
      <c r="N185" s="405"/>
      <c r="O185" s="352"/>
    </row>
    <row r="186" spans="1:15">
      <c r="A186" s="347"/>
      <c r="B186" s="347"/>
      <c r="C186" s="348"/>
      <c r="D186" s="421" t="s">
        <v>1404</v>
      </c>
      <c r="E186" s="422"/>
      <c r="F186" s="423">
        <f>13*2*1.1</f>
        <v>28.6</v>
      </c>
      <c r="G186" s="352"/>
      <c r="H186" s="353"/>
      <c r="I186" s="353"/>
      <c r="J186" s="353"/>
      <c r="K186" s="353"/>
      <c r="L186" s="353"/>
      <c r="M186" s="353">
        <f>F186</f>
        <v>28.6</v>
      </c>
      <c r="N186" s="405"/>
      <c r="O186" s="352"/>
    </row>
    <row r="187" spans="1:15">
      <c r="A187" s="347"/>
      <c r="B187" s="347"/>
      <c r="C187" s="348"/>
      <c r="D187" s="421" t="s">
        <v>1406</v>
      </c>
      <c r="E187" s="422"/>
      <c r="F187" s="423">
        <v>80</v>
      </c>
      <c r="G187" s="352"/>
      <c r="H187" s="353"/>
      <c r="I187" s="353"/>
      <c r="J187" s="353"/>
      <c r="K187" s="353"/>
      <c r="L187" s="353"/>
      <c r="M187" s="353">
        <f>F187</f>
        <v>80</v>
      </c>
      <c r="N187" s="405"/>
      <c r="O187" s="352"/>
    </row>
    <row r="188" spans="1:15">
      <c r="A188" s="347"/>
      <c r="B188" s="347"/>
      <c r="C188" s="348"/>
      <c r="D188" s="421" t="s">
        <v>1407</v>
      </c>
      <c r="E188" s="422"/>
      <c r="F188" s="423">
        <f>17*2*1.1</f>
        <v>37.400000000000006</v>
      </c>
      <c r="G188" s="352"/>
      <c r="H188" s="353"/>
      <c r="I188" s="353"/>
      <c r="J188" s="353"/>
      <c r="K188" s="353"/>
      <c r="L188" s="353"/>
      <c r="M188" s="353">
        <f>F188</f>
        <v>37.400000000000006</v>
      </c>
      <c r="N188" s="405"/>
      <c r="O188" s="352"/>
    </row>
    <row r="189" spans="1:15">
      <c r="A189" s="354"/>
      <c r="B189" s="354"/>
      <c r="C189" s="355"/>
      <c r="D189" s="356"/>
      <c r="E189" s="362"/>
      <c r="F189" s="358"/>
      <c r="G189" s="359"/>
      <c r="H189" s="360"/>
      <c r="I189" s="360"/>
      <c r="J189" s="360"/>
      <c r="K189" s="360"/>
      <c r="L189" s="360"/>
      <c r="M189" s="360"/>
      <c r="N189" s="405"/>
      <c r="O189" s="352"/>
    </row>
    <row r="190" spans="1:15" ht="31.5">
      <c r="A190" s="339" t="s">
        <v>1343</v>
      </c>
      <c r="B190" s="339" t="s">
        <v>2</v>
      </c>
      <c r="C190" s="340">
        <v>91856</v>
      </c>
      <c r="D190" s="341" t="s">
        <v>1421</v>
      </c>
      <c r="E190" s="342" t="s">
        <v>180</v>
      </c>
      <c r="F190" s="343"/>
      <c r="G190" s="344"/>
      <c r="H190" s="345"/>
      <c r="I190" s="345"/>
      <c r="J190" s="345"/>
      <c r="K190" s="345"/>
      <c r="L190" s="345"/>
      <c r="M190" s="346">
        <f>SUM(M191:M192)</f>
        <v>8</v>
      </c>
      <c r="N190" s="408"/>
      <c r="O190" s="409"/>
    </row>
    <row r="191" spans="1:15">
      <c r="A191" s="347"/>
      <c r="B191" s="347"/>
      <c r="C191" s="348"/>
      <c r="D191" s="421" t="s">
        <v>1405</v>
      </c>
      <c r="E191" s="422"/>
      <c r="F191" s="423">
        <v>8</v>
      </c>
      <c r="G191" s="352"/>
      <c r="H191" s="353"/>
      <c r="I191" s="353"/>
      <c r="J191" s="353"/>
      <c r="K191" s="353"/>
      <c r="L191" s="353"/>
      <c r="M191" s="353">
        <f>F191</f>
        <v>8</v>
      </c>
      <c r="N191" s="405"/>
      <c r="O191" s="352"/>
    </row>
    <row r="192" spans="1:15">
      <c r="A192" s="354"/>
      <c r="B192" s="354"/>
      <c r="C192" s="355"/>
      <c r="D192" s="356"/>
      <c r="E192" s="362"/>
      <c r="F192" s="358"/>
      <c r="G192" s="359"/>
      <c r="H192" s="360"/>
      <c r="I192" s="360"/>
      <c r="J192" s="360"/>
      <c r="K192" s="360"/>
      <c r="L192" s="360"/>
      <c r="M192" s="360"/>
      <c r="N192" s="405"/>
      <c r="O192" s="352"/>
    </row>
    <row r="193" spans="1:15" ht="31.5">
      <c r="A193" s="339" t="s">
        <v>1344</v>
      </c>
      <c r="B193" s="339" t="s">
        <v>3</v>
      </c>
      <c r="C193" s="340" t="s">
        <v>1385</v>
      </c>
      <c r="D193" s="341" t="s">
        <v>1422</v>
      </c>
      <c r="E193" s="342" t="s">
        <v>180</v>
      </c>
      <c r="F193" s="343"/>
      <c r="G193" s="344"/>
      <c r="H193" s="345"/>
      <c r="I193" s="345"/>
      <c r="J193" s="345"/>
      <c r="K193" s="345"/>
      <c r="L193" s="345"/>
      <c r="M193" s="346">
        <f>SUM(M194:M195)</f>
        <v>36</v>
      </c>
      <c r="N193" s="408"/>
      <c r="O193" s="409"/>
    </row>
    <row r="194" spans="1:15">
      <c r="A194" s="347"/>
      <c r="B194" s="347"/>
      <c r="C194" s="348"/>
      <c r="D194" s="421" t="s">
        <v>1419</v>
      </c>
      <c r="E194" s="422"/>
      <c r="F194" s="423">
        <v>36</v>
      </c>
      <c r="G194" s="352"/>
      <c r="H194" s="353"/>
      <c r="I194" s="353"/>
      <c r="J194" s="353"/>
      <c r="K194" s="353"/>
      <c r="L194" s="353"/>
      <c r="M194" s="353">
        <f>F194</f>
        <v>36</v>
      </c>
      <c r="N194" s="405"/>
      <c r="O194" s="352"/>
    </row>
    <row r="195" spans="1:15">
      <c r="A195" s="354"/>
      <c r="B195" s="354"/>
      <c r="C195" s="355"/>
      <c r="D195" s="356"/>
      <c r="E195" s="362"/>
      <c r="F195" s="358"/>
      <c r="G195" s="359"/>
      <c r="H195" s="360"/>
      <c r="I195" s="360"/>
      <c r="J195" s="360"/>
      <c r="K195" s="360"/>
      <c r="L195" s="360"/>
      <c r="M195" s="360"/>
      <c r="N195" s="405"/>
      <c r="O195" s="352"/>
    </row>
    <row r="196" spans="1:15">
      <c r="A196" s="339" t="s">
        <v>1423</v>
      </c>
      <c r="B196" s="339" t="s">
        <v>3</v>
      </c>
      <c r="C196" s="340" t="s">
        <v>359</v>
      </c>
      <c r="D196" s="341" t="s">
        <v>360</v>
      </c>
      <c r="E196" s="342" t="s">
        <v>180</v>
      </c>
      <c r="F196" s="343"/>
      <c r="G196" s="344"/>
      <c r="H196" s="345"/>
      <c r="I196" s="345"/>
      <c r="J196" s="345"/>
      <c r="K196" s="345"/>
      <c r="L196" s="345"/>
      <c r="M196" s="346">
        <f>SUM(M197:M202)</f>
        <v>240.8</v>
      </c>
      <c r="N196" s="408"/>
      <c r="O196" s="409"/>
    </row>
    <row r="197" spans="1:15">
      <c r="A197" s="347"/>
      <c r="B197" s="347"/>
      <c r="C197" s="348"/>
      <c r="D197" s="421" t="s">
        <v>1403</v>
      </c>
      <c r="E197" s="422"/>
      <c r="F197" s="423">
        <f>40*1.1</f>
        <v>44</v>
      </c>
      <c r="G197" s="352"/>
      <c r="H197" s="353"/>
      <c r="I197" s="353"/>
      <c r="J197" s="353"/>
      <c r="K197" s="353"/>
      <c r="L197" s="353"/>
      <c r="M197" s="353">
        <f>F197</f>
        <v>44</v>
      </c>
      <c r="N197" s="405"/>
      <c r="O197" s="352"/>
    </row>
    <row r="198" spans="1:15">
      <c r="A198" s="347"/>
      <c r="B198" s="347"/>
      <c r="C198" s="348"/>
      <c r="D198" s="421" t="s">
        <v>1404</v>
      </c>
      <c r="E198" s="422"/>
      <c r="F198" s="423">
        <f>25*1.1</f>
        <v>27.500000000000004</v>
      </c>
      <c r="G198" s="352"/>
      <c r="H198" s="353"/>
      <c r="I198" s="353"/>
      <c r="J198" s="353"/>
      <c r="K198" s="353"/>
      <c r="L198" s="353"/>
      <c r="M198" s="353">
        <f>F198</f>
        <v>27.500000000000004</v>
      </c>
      <c r="N198" s="405"/>
      <c r="O198" s="352"/>
    </row>
    <row r="199" spans="1:15">
      <c r="A199" s="347"/>
      <c r="B199" s="347"/>
      <c r="C199" s="348"/>
      <c r="D199" s="421" t="s">
        <v>1406</v>
      </c>
      <c r="E199" s="422"/>
      <c r="F199" s="423">
        <f>30*1.1</f>
        <v>33</v>
      </c>
      <c r="G199" s="352"/>
      <c r="H199" s="353"/>
      <c r="I199" s="353"/>
      <c r="J199" s="353"/>
      <c r="K199" s="353"/>
      <c r="L199" s="353"/>
      <c r="M199" s="353">
        <f>F199</f>
        <v>33</v>
      </c>
      <c r="N199" s="405"/>
      <c r="O199" s="352"/>
    </row>
    <row r="200" spans="1:15">
      <c r="A200" s="347"/>
      <c r="B200" s="347"/>
      <c r="C200" s="348"/>
      <c r="D200" s="421" t="s">
        <v>1407</v>
      </c>
      <c r="E200" s="422"/>
      <c r="F200" s="423">
        <f>23*1.1</f>
        <v>25.3</v>
      </c>
      <c r="G200" s="352"/>
      <c r="H200" s="353"/>
      <c r="I200" s="353"/>
      <c r="J200" s="353"/>
      <c r="K200" s="353"/>
      <c r="L200" s="353"/>
      <c r="M200" s="353">
        <f>F200</f>
        <v>25.3</v>
      </c>
      <c r="N200" s="405"/>
      <c r="O200" s="352"/>
    </row>
    <row r="201" spans="1:15">
      <c r="A201" s="347"/>
      <c r="B201" s="347"/>
      <c r="C201" s="348"/>
      <c r="D201" s="421" t="s">
        <v>1405</v>
      </c>
      <c r="E201" s="422"/>
      <c r="F201" s="423">
        <v>111</v>
      </c>
      <c r="G201" s="352"/>
      <c r="H201" s="353"/>
      <c r="I201" s="353"/>
      <c r="J201" s="353"/>
      <c r="K201" s="353"/>
      <c r="L201" s="353"/>
      <c r="M201" s="353">
        <f>F201</f>
        <v>111</v>
      </c>
      <c r="N201" s="405"/>
      <c r="O201" s="352"/>
    </row>
    <row r="202" spans="1:15">
      <c r="A202" s="354"/>
      <c r="B202" s="354"/>
      <c r="C202" s="355"/>
      <c r="D202" s="356"/>
      <c r="E202" s="362"/>
      <c r="F202" s="358"/>
      <c r="G202" s="359"/>
      <c r="H202" s="360"/>
      <c r="I202" s="360"/>
      <c r="J202" s="360"/>
      <c r="K202" s="360"/>
      <c r="L202" s="360"/>
      <c r="M202" s="360"/>
      <c r="N202" s="405"/>
      <c r="O202" s="352"/>
    </row>
    <row r="203" spans="1:15" ht="31.5">
      <c r="A203" s="339" t="s">
        <v>1424</v>
      </c>
      <c r="B203" s="339" t="s">
        <v>3</v>
      </c>
      <c r="C203" s="340" t="s">
        <v>1425</v>
      </c>
      <c r="D203" s="341" t="s">
        <v>1426</v>
      </c>
      <c r="E203" s="342" t="s">
        <v>167</v>
      </c>
      <c r="F203" s="343"/>
      <c r="G203" s="344"/>
      <c r="H203" s="345"/>
      <c r="I203" s="345"/>
      <c r="J203" s="345"/>
      <c r="K203" s="345"/>
      <c r="L203" s="345"/>
      <c r="M203" s="346">
        <f>SUM(M204:M205)</f>
        <v>1</v>
      </c>
      <c r="N203" s="408"/>
      <c r="O203" s="409"/>
    </row>
    <row r="204" spans="1:15">
      <c r="A204" s="347"/>
      <c r="B204" s="347"/>
      <c r="C204" s="348"/>
      <c r="D204" s="421" t="s">
        <v>1404</v>
      </c>
      <c r="E204" s="422"/>
      <c r="F204" s="423">
        <v>1</v>
      </c>
      <c r="G204" s="352"/>
      <c r="H204" s="353"/>
      <c r="I204" s="353"/>
      <c r="J204" s="353"/>
      <c r="K204" s="353"/>
      <c r="L204" s="353"/>
      <c r="M204" s="353">
        <f>F204</f>
        <v>1</v>
      </c>
      <c r="N204" s="405"/>
      <c r="O204" s="352"/>
    </row>
    <row r="205" spans="1:15">
      <c r="A205" s="354"/>
      <c r="B205" s="354"/>
      <c r="C205" s="355"/>
      <c r="D205" s="356"/>
      <c r="E205" s="362"/>
      <c r="F205" s="358"/>
      <c r="G205" s="359"/>
      <c r="H205" s="360"/>
      <c r="I205" s="360"/>
      <c r="J205" s="360"/>
      <c r="K205" s="360"/>
      <c r="L205" s="360"/>
      <c r="M205" s="360"/>
      <c r="N205" s="405"/>
      <c r="O205" s="352"/>
    </row>
    <row r="206" spans="1:15" ht="31.5">
      <c r="A206" s="339" t="s">
        <v>1427</v>
      </c>
      <c r="B206" s="339" t="s">
        <v>3</v>
      </c>
      <c r="C206" s="340" t="s">
        <v>912</v>
      </c>
      <c r="D206" s="341" t="s">
        <v>913</v>
      </c>
      <c r="E206" s="342" t="s">
        <v>167</v>
      </c>
      <c r="F206" s="343"/>
      <c r="G206" s="344"/>
      <c r="H206" s="345"/>
      <c r="I206" s="345"/>
      <c r="J206" s="345"/>
      <c r="K206" s="345"/>
      <c r="L206" s="345"/>
      <c r="M206" s="346">
        <f>SUM(M207:M210)</f>
        <v>7</v>
      </c>
      <c r="N206" s="408"/>
      <c r="O206" s="409"/>
    </row>
    <row r="207" spans="1:15">
      <c r="A207" s="347"/>
      <c r="B207" s="347"/>
      <c r="C207" s="348"/>
      <c r="D207" s="421" t="s">
        <v>1403</v>
      </c>
      <c r="E207" s="422"/>
      <c r="F207" s="423">
        <v>2</v>
      </c>
      <c r="G207" s="352"/>
      <c r="H207" s="353"/>
      <c r="I207" s="353"/>
      <c r="J207" s="353"/>
      <c r="K207" s="353"/>
      <c r="L207" s="353"/>
      <c r="M207" s="353">
        <f>F207</f>
        <v>2</v>
      </c>
      <c r="N207" s="405"/>
      <c r="O207" s="352"/>
    </row>
    <row r="208" spans="1:15">
      <c r="A208" s="347"/>
      <c r="B208" s="347"/>
      <c r="C208" s="348"/>
      <c r="D208" s="421" t="s">
        <v>1404</v>
      </c>
      <c r="E208" s="422"/>
      <c r="F208" s="423">
        <v>3</v>
      </c>
      <c r="G208" s="352"/>
      <c r="H208" s="353"/>
      <c r="I208" s="353"/>
      <c r="J208" s="353"/>
      <c r="K208" s="353"/>
      <c r="L208" s="353"/>
      <c r="M208" s="353">
        <f>F208</f>
        <v>3</v>
      </c>
      <c r="N208" s="405"/>
      <c r="O208" s="352"/>
    </row>
    <row r="209" spans="1:15">
      <c r="A209" s="347"/>
      <c r="B209" s="347"/>
      <c r="C209" s="348"/>
      <c r="D209" s="421" t="s">
        <v>1405</v>
      </c>
      <c r="E209" s="422"/>
      <c r="F209" s="423">
        <v>2</v>
      </c>
      <c r="G209" s="352"/>
      <c r="H209" s="353"/>
      <c r="I209" s="353"/>
      <c r="J209" s="353"/>
      <c r="K209" s="353"/>
      <c r="L209" s="353"/>
      <c r="M209" s="353">
        <f>F209</f>
        <v>2</v>
      </c>
      <c r="N209" s="405"/>
      <c r="O209" s="352"/>
    </row>
    <row r="210" spans="1:15">
      <c r="A210" s="354"/>
      <c r="B210" s="354"/>
      <c r="C210" s="355"/>
      <c r="D210" s="356"/>
      <c r="E210" s="362"/>
      <c r="F210" s="358"/>
      <c r="G210" s="359"/>
      <c r="H210" s="360"/>
      <c r="I210" s="360"/>
      <c r="J210" s="360"/>
      <c r="K210" s="360"/>
      <c r="L210" s="360"/>
      <c r="M210" s="360"/>
      <c r="N210" s="405"/>
      <c r="O210" s="352"/>
    </row>
    <row r="211" spans="1:15" ht="31.5">
      <c r="A211" s="339" t="s">
        <v>1428</v>
      </c>
      <c r="B211" s="339" t="s">
        <v>3</v>
      </c>
      <c r="C211" s="340" t="s">
        <v>915</v>
      </c>
      <c r="D211" s="341" t="s">
        <v>916</v>
      </c>
      <c r="E211" s="342" t="s">
        <v>167</v>
      </c>
      <c r="F211" s="343"/>
      <c r="G211" s="344"/>
      <c r="H211" s="345"/>
      <c r="I211" s="345"/>
      <c r="J211" s="345"/>
      <c r="K211" s="345"/>
      <c r="L211" s="345"/>
      <c r="M211" s="346">
        <f>SUM(M212:M215)</f>
        <v>31</v>
      </c>
      <c r="N211" s="408"/>
      <c r="O211" s="409"/>
    </row>
    <row r="212" spans="1:15">
      <c r="A212" s="347"/>
      <c r="B212" s="347"/>
      <c r="C212" s="348"/>
      <c r="D212" s="421" t="s">
        <v>1403</v>
      </c>
      <c r="E212" s="422"/>
      <c r="F212" s="423">
        <v>16</v>
      </c>
      <c r="G212" s="352"/>
      <c r="H212" s="353"/>
      <c r="I212" s="353"/>
      <c r="J212" s="353"/>
      <c r="K212" s="353"/>
      <c r="L212" s="353"/>
      <c r="M212" s="353">
        <f>F212</f>
        <v>16</v>
      </c>
      <c r="N212" s="405"/>
      <c r="O212" s="352"/>
    </row>
    <row r="213" spans="1:15">
      <c r="A213" s="347"/>
      <c r="B213" s="347"/>
      <c r="C213" s="348"/>
      <c r="D213" s="421" t="s">
        <v>1404</v>
      </c>
      <c r="E213" s="422"/>
      <c r="F213" s="423">
        <v>6</v>
      </c>
      <c r="G213" s="352"/>
      <c r="H213" s="353"/>
      <c r="I213" s="353"/>
      <c r="J213" s="353"/>
      <c r="K213" s="353"/>
      <c r="L213" s="353"/>
      <c r="M213" s="353">
        <f>F213</f>
        <v>6</v>
      </c>
      <c r="N213" s="405"/>
      <c r="O213" s="352"/>
    </row>
    <row r="214" spans="1:15">
      <c r="A214" s="347"/>
      <c r="B214" s="347"/>
      <c r="C214" s="348"/>
      <c r="D214" s="421" t="s">
        <v>1405</v>
      </c>
      <c r="E214" s="422"/>
      <c r="F214" s="423">
        <v>9</v>
      </c>
      <c r="G214" s="352"/>
      <c r="H214" s="353"/>
      <c r="I214" s="353"/>
      <c r="J214" s="353"/>
      <c r="K214" s="353"/>
      <c r="L214" s="353"/>
      <c r="M214" s="353">
        <f>F214</f>
        <v>9</v>
      </c>
      <c r="N214" s="405"/>
      <c r="O214" s="352"/>
    </row>
    <row r="215" spans="1:15">
      <c r="A215" s="354"/>
      <c r="B215" s="354"/>
      <c r="C215" s="355"/>
      <c r="D215" s="356"/>
      <c r="E215" s="362"/>
      <c r="F215" s="358"/>
      <c r="G215" s="359"/>
      <c r="H215" s="360"/>
      <c r="I215" s="360"/>
      <c r="J215" s="360"/>
      <c r="K215" s="360"/>
      <c r="L215" s="360"/>
      <c r="M215" s="360"/>
      <c r="N215" s="405"/>
      <c r="O215" s="352"/>
    </row>
    <row r="216" spans="1:15" ht="31.5">
      <c r="A216" s="339" t="s">
        <v>1429</v>
      </c>
      <c r="B216" s="339" t="s">
        <v>3</v>
      </c>
      <c r="C216" s="340" t="s">
        <v>226</v>
      </c>
      <c r="D216" s="341" t="s">
        <v>227</v>
      </c>
      <c r="E216" s="342" t="s">
        <v>167</v>
      </c>
      <c r="F216" s="343"/>
      <c r="G216" s="344"/>
      <c r="H216" s="345"/>
      <c r="I216" s="345"/>
      <c r="J216" s="345"/>
      <c r="K216" s="345"/>
      <c r="L216" s="345"/>
      <c r="M216" s="346">
        <f>SUM(M217:M219)</f>
        <v>6</v>
      </c>
      <c r="N216" s="408"/>
      <c r="O216" s="409"/>
    </row>
    <row r="217" spans="1:15">
      <c r="A217" s="347"/>
      <c r="B217" s="347"/>
      <c r="C217" s="348"/>
      <c r="D217" s="421" t="s">
        <v>1404</v>
      </c>
      <c r="E217" s="422"/>
      <c r="F217" s="423">
        <v>1</v>
      </c>
      <c r="G217" s="352"/>
      <c r="H217" s="353"/>
      <c r="I217" s="353"/>
      <c r="J217" s="353"/>
      <c r="K217" s="353"/>
      <c r="L217" s="353"/>
      <c r="M217" s="353">
        <f>F217</f>
        <v>1</v>
      </c>
      <c r="N217" s="405"/>
      <c r="O217" s="352"/>
    </row>
    <row r="218" spans="1:15">
      <c r="A218" s="347"/>
      <c r="B218" s="347"/>
      <c r="C218" s="348"/>
      <c r="D218" s="421" t="s">
        <v>1405</v>
      </c>
      <c r="E218" s="422"/>
      <c r="F218" s="423">
        <v>5</v>
      </c>
      <c r="G218" s="352"/>
      <c r="H218" s="353"/>
      <c r="I218" s="353"/>
      <c r="J218" s="353"/>
      <c r="K218" s="353"/>
      <c r="L218" s="353"/>
      <c r="M218" s="353">
        <f>F218</f>
        <v>5</v>
      </c>
      <c r="N218" s="405"/>
      <c r="O218" s="352"/>
    </row>
    <row r="219" spans="1:15">
      <c r="A219" s="354"/>
      <c r="B219" s="354"/>
      <c r="C219" s="355"/>
      <c r="D219" s="356"/>
      <c r="E219" s="362"/>
      <c r="F219" s="358"/>
      <c r="G219" s="359"/>
      <c r="H219" s="360"/>
      <c r="I219" s="360"/>
      <c r="J219" s="360"/>
      <c r="K219" s="360"/>
      <c r="L219" s="360"/>
      <c r="M219" s="360"/>
      <c r="N219" s="405"/>
      <c r="O219" s="352"/>
    </row>
    <row r="220" spans="1:15" ht="31.5">
      <c r="A220" s="339" t="s">
        <v>1430</v>
      </c>
      <c r="B220" s="339" t="s">
        <v>3</v>
      </c>
      <c r="C220" s="340" t="s">
        <v>232</v>
      </c>
      <c r="D220" s="341" t="s">
        <v>233</v>
      </c>
      <c r="E220" s="342" t="s">
        <v>167</v>
      </c>
      <c r="F220" s="343"/>
      <c r="G220" s="344"/>
      <c r="H220" s="345"/>
      <c r="I220" s="345"/>
      <c r="J220" s="345"/>
      <c r="K220" s="345"/>
      <c r="L220" s="345"/>
      <c r="M220" s="346">
        <f>SUM(M221:M225)</f>
        <v>32</v>
      </c>
      <c r="N220" s="408"/>
      <c r="O220" s="409"/>
    </row>
    <row r="221" spans="1:15">
      <c r="A221" s="347"/>
      <c r="B221" s="347"/>
      <c r="C221" s="348"/>
      <c r="D221" s="421" t="s">
        <v>1403</v>
      </c>
      <c r="E221" s="422"/>
      <c r="F221" s="423">
        <f>6+2</f>
        <v>8</v>
      </c>
      <c r="G221" s="352"/>
      <c r="H221" s="353"/>
      <c r="I221" s="353"/>
      <c r="J221" s="353"/>
      <c r="K221" s="353"/>
      <c r="L221" s="353"/>
      <c r="M221" s="353">
        <f>F221</f>
        <v>8</v>
      </c>
      <c r="N221" s="405"/>
      <c r="O221" s="352"/>
    </row>
    <row r="222" spans="1:15">
      <c r="A222" s="347"/>
      <c r="B222" s="347"/>
      <c r="C222" s="348"/>
      <c r="D222" s="421" t="s">
        <v>1404</v>
      </c>
      <c r="E222" s="422"/>
      <c r="F222" s="423">
        <f>3+1</f>
        <v>4</v>
      </c>
      <c r="G222" s="352"/>
      <c r="H222" s="353"/>
      <c r="I222" s="353"/>
      <c r="J222" s="353"/>
      <c r="K222" s="353"/>
      <c r="L222" s="353"/>
      <c r="M222" s="353">
        <f>F222</f>
        <v>4</v>
      </c>
      <c r="N222" s="405"/>
      <c r="O222" s="352"/>
    </row>
    <row r="223" spans="1:15">
      <c r="A223" s="347"/>
      <c r="B223" s="347"/>
      <c r="C223" s="348"/>
      <c r="D223" s="421" t="s">
        <v>1406</v>
      </c>
      <c r="E223" s="422"/>
      <c r="F223" s="423">
        <v>5</v>
      </c>
      <c r="G223" s="352"/>
      <c r="H223" s="353"/>
      <c r="I223" s="353"/>
      <c r="J223" s="353"/>
      <c r="K223" s="353"/>
      <c r="L223" s="353"/>
      <c r="M223" s="353">
        <f>F223</f>
        <v>5</v>
      </c>
      <c r="N223" s="405"/>
      <c r="O223" s="352"/>
    </row>
    <row r="224" spans="1:15">
      <c r="A224" s="347"/>
      <c r="B224" s="347"/>
      <c r="C224" s="348"/>
      <c r="D224" s="421" t="s">
        <v>1405</v>
      </c>
      <c r="E224" s="422"/>
      <c r="F224" s="423">
        <v>15</v>
      </c>
      <c r="G224" s="352"/>
      <c r="H224" s="353"/>
      <c r="I224" s="353"/>
      <c r="J224" s="353"/>
      <c r="K224" s="353"/>
      <c r="L224" s="353"/>
      <c r="M224" s="353">
        <f>F224</f>
        <v>15</v>
      </c>
      <c r="N224" s="405"/>
      <c r="O224" s="352"/>
    </row>
    <row r="225" spans="1:15">
      <c r="A225" s="354"/>
      <c r="B225" s="354"/>
      <c r="C225" s="355"/>
      <c r="D225" s="356"/>
      <c r="E225" s="362"/>
      <c r="F225" s="358"/>
      <c r="G225" s="359"/>
      <c r="H225" s="360"/>
      <c r="I225" s="360"/>
      <c r="J225" s="360"/>
      <c r="K225" s="360"/>
      <c r="L225" s="360"/>
      <c r="M225" s="360"/>
      <c r="N225" s="405"/>
      <c r="O225" s="352"/>
    </row>
    <row r="226" spans="1:15" ht="31.5">
      <c r="A226" s="339" t="s">
        <v>1431</v>
      </c>
      <c r="B226" s="339" t="s">
        <v>3</v>
      </c>
      <c r="C226" s="340" t="s">
        <v>924</v>
      </c>
      <c r="D226" s="341" t="s">
        <v>925</v>
      </c>
      <c r="E226" s="342" t="s">
        <v>167</v>
      </c>
      <c r="F226" s="343"/>
      <c r="G226" s="344"/>
      <c r="H226" s="345"/>
      <c r="I226" s="345"/>
      <c r="J226" s="345"/>
      <c r="K226" s="345"/>
      <c r="L226" s="345"/>
      <c r="M226" s="346">
        <f>SUM(M227:M228)</f>
        <v>1</v>
      </c>
      <c r="N226" s="408"/>
      <c r="O226" s="409"/>
    </row>
    <row r="227" spans="1:15">
      <c r="A227" s="347"/>
      <c r="B227" s="347"/>
      <c r="C227" s="348"/>
      <c r="D227" s="421" t="s">
        <v>1403</v>
      </c>
      <c r="E227" s="422"/>
      <c r="F227" s="423">
        <v>1</v>
      </c>
      <c r="G227" s="352"/>
      <c r="H227" s="353"/>
      <c r="I227" s="353"/>
      <c r="J227" s="353"/>
      <c r="K227" s="353"/>
      <c r="L227" s="353"/>
      <c r="M227" s="353">
        <f>F227</f>
        <v>1</v>
      </c>
      <c r="N227" s="405"/>
      <c r="O227" s="352"/>
    </row>
    <row r="228" spans="1:15">
      <c r="A228" s="354"/>
      <c r="B228" s="354"/>
      <c r="C228" s="355"/>
      <c r="D228" s="356"/>
      <c r="E228" s="362"/>
      <c r="F228" s="358"/>
      <c r="G228" s="359"/>
      <c r="H228" s="360"/>
      <c r="I228" s="360"/>
      <c r="J228" s="360"/>
      <c r="K228" s="360"/>
      <c r="L228" s="360"/>
      <c r="M228" s="360"/>
      <c r="N228" s="405"/>
      <c r="O228" s="352"/>
    </row>
    <row r="229" spans="1:15" ht="47.25">
      <c r="A229" s="339" t="s">
        <v>1432</v>
      </c>
      <c r="B229" s="339" t="s">
        <v>3</v>
      </c>
      <c r="C229" s="340" t="s">
        <v>927</v>
      </c>
      <c r="D229" s="341" t="s">
        <v>928</v>
      </c>
      <c r="E229" s="342" t="s">
        <v>167</v>
      </c>
      <c r="F229" s="343"/>
      <c r="G229" s="344"/>
      <c r="H229" s="345"/>
      <c r="I229" s="345"/>
      <c r="J229" s="345"/>
      <c r="K229" s="345"/>
      <c r="L229" s="345"/>
      <c r="M229" s="346">
        <f>SUM(M230:M232)</f>
        <v>32</v>
      </c>
      <c r="N229" s="408"/>
      <c r="O229" s="409"/>
    </row>
    <row r="230" spans="1:15">
      <c r="A230" s="347"/>
      <c r="B230" s="347"/>
      <c r="C230" s="348"/>
      <c r="D230" s="421" t="s">
        <v>1403</v>
      </c>
      <c r="E230" s="422"/>
      <c r="F230" s="423">
        <v>20</v>
      </c>
      <c r="G230" s="352"/>
      <c r="H230" s="353"/>
      <c r="I230" s="353"/>
      <c r="J230" s="353"/>
      <c r="K230" s="353"/>
      <c r="L230" s="353"/>
      <c r="M230" s="353">
        <f>F230</f>
        <v>20</v>
      </c>
      <c r="N230" s="405"/>
      <c r="O230" s="352"/>
    </row>
    <row r="231" spans="1:15">
      <c r="A231" s="347"/>
      <c r="B231" s="347"/>
      <c r="C231" s="348"/>
      <c r="D231" s="421" t="s">
        <v>1404</v>
      </c>
      <c r="E231" s="422"/>
      <c r="F231" s="423">
        <v>12</v>
      </c>
      <c r="G231" s="352"/>
      <c r="H231" s="353"/>
      <c r="I231" s="353"/>
      <c r="J231" s="353"/>
      <c r="K231" s="353"/>
      <c r="L231" s="353"/>
      <c r="M231" s="353">
        <f>F231</f>
        <v>12</v>
      </c>
      <c r="N231" s="405"/>
      <c r="O231" s="352"/>
    </row>
    <row r="232" spans="1:15">
      <c r="A232" s="354"/>
      <c r="B232" s="354"/>
      <c r="C232" s="355"/>
      <c r="D232" s="356"/>
      <c r="E232" s="362"/>
      <c r="F232" s="358"/>
      <c r="G232" s="359"/>
      <c r="H232" s="360"/>
      <c r="I232" s="360"/>
      <c r="J232" s="360"/>
      <c r="K232" s="360"/>
      <c r="L232" s="360"/>
      <c r="M232" s="360"/>
      <c r="N232" s="405"/>
      <c r="O232" s="352"/>
    </row>
    <row r="233" spans="1:15">
      <c r="A233" s="339" t="s">
        <v>1433</v>
      </c>
      <c r="B233" s="339" t="s">
        <v>3</v>
      </c>
      <c r="C233" s="340" t="s">
        <v>930</v>
      </c>
      <c r="D233" s="341" t="s">
        <v>931</v>
      </c>
      <c r="E233" s="342" t="s">
        <v>167</v>
      </c>
      <c r="F233" s="343"/>
      <c r="G233" s="344"/>
      <c r="H233" s="345"/>
      <c r="I233" s="345"/>
      <c r="J233" s="345"/>
      <c r="K233" s="345"/>
      <c r="L233" s="345"/>
      <c r="M233" s="346">
        <f>SUM(M234:M237)</f>
        <v>15</v>
      </c>
      <c r="N233" s="408"/>
      <c r="O233" s="409"/>
    </row>
    <row r="234" spans="1:15">
      <c r="A234" s="347"/>
      <c r="B234" s="347"/>
      <c r="C234" s="348"/>
      <c r="D234" s="421" t="s">
        <v>1403</v>
      </c>
      <c r="E234" s="422"/>
      <c r="F234" s="423">
        <v>7</v>
      </c>
      <c r="G234" s="352"/>
      <c r="H234" s="353"/>
      <c r="I234" s="353"/>
      <c r="J234" s="353"/>
      <c r="K234" s="353"/>
      <c r="L234" s="353"/>
      <c r="M234" s="353">
        <f>F234</f>
        <v>7</v>
      </c>
      <c r="N234" s="405"/>
      <c r="O234" s="352"/>
    </row>
    <row r="235" spans="1:15">
      <c r="A235" s="347"/>
      <c r="B235" s="347"/>
      <c r="C235" s="348"/>
      <c r="D235" s="421" t="s">
        <v>1404</v>
      </c>
      <c r="E235" s="422"/>
      <c r="F235" s="423">
        <v>3</v>
      </c>
      <c r="G235" s="352"/>
      <c r="H235" s="353"/>
      <c r="I235" s="353"/>
      <c r="J235" s="353"/>
      <c r="K235" s="353"/>
      <c r="L235" s="353"/>
      <c r="M235" s="353">
        <f>F235</f>
        <v>3</v>
      </c>
      <c r="N235" s="405"/>
      <c r="O235" s="352"/>
    </row>
    <row r="236" spans="1:15">
      <c r="A236" s="347"/>
      <c r="B236" s="347"/>
      <c r="C236" s="348"/>
      <c r="D236" s="421" t="s">
        <v>1406</v>
      </c>
      <c r="E236" s="422"/>
      <c r="F236" s="423">
        <v>5</v>
      </c>
      <c r="G236" s="352"/>
      <c r="H236" s="353"/>
      <c r="I236" s="353"/>
      <c r="J236" s="353"/>
      <c r="K236" s="353"/>
      <c r="L236" s="353"/>
      <c r="M236" s="353">
        <f>F236</f>
        <v>5</v>
      </c>
      <c r="N236" s="405"/>
      <c r="O236" s="352"/>
    </row>
    <row r="237" spans="1:15">
      <c r="A237" s="354"/>
      <c r="B237" s="354"/>
      <c r="C237" s="355"/>
      <c r="D237" s="356"/>
      <c r="E237" s="362"/>
      <c r="F237" s="358"/>
      <c r="G237" s="359"/>
      <c r="H237" s="360"/>
      <c r="I237" s="360"/>
      <c r="J237" s="360"/>
      <c r="K237" s="360"/>
      <c r="L237" s="360"/>
      <c r="M237" s="360"/>
      <c r="N237" s="405"/>
      <c r="O237" s="352"/>
    </row>
    <row r="238" spans="1:15" ht="47.25">
      <c r="A238" s="339" t="s">
        <v>1434</v>
      </c>
      <c r="B238" s="339" t="s">
        <v>3</v>
      </c>
      <c r="C238" s="340" t="s">
        <v>1435</v>
      </c>
      <c r="D238" s="341" t="s">
        <v>1436</v>
      </c>
      <c r="E238" s="342" t="s">
        <v>180</v>
      </c>
      <c r="F238" s="343"/>
      <c r="G238" s="344"/>
      <c r="H238" s="345"/>
      <c r="I238" s="345"/>
      <c r="J238" s="345"/>
      <c r="K238" s="345"/>
      <c r="L238" s="345"/>
      <c r="M238" s="346">
        <f>SUM(M239:M241)</f>
        <v>22.5</v>
      </c>
      <c r="N238" s="408"/>
      <c r="O238" s="409"/>
    </row>
    <row r="239" spans="1:15">
      <c r="A239" s="347"/>
      <c r="B239" s="347"/>
      <c r="C239" s="348"/>
      <c r="D239" s="421" t="s">
        <v>1403</v>
      </c>
      <c r="E239" s="422"/>
      <c r="F239" s="423">
        <v>6</v>
      </c>
      <c r="G239" s="352"/>
      <c r="H239" s="353"/>
      <c r="I239" s="353"/>
      <c r="J239" s="353"/>
      <c r="K239" s="353"/>
      <c r="L239" s="353"/>
      <c r="M239" s="353">
        <f>F239</f>
        <v>6</v>
      </c>
      <c r="N239" s="405"/>
      <c r="O239" s="352"/>
    </row>
    <row r="240" spans="1:15">
      <c r="A240" s="347"/>
      <c r="B240" s="347"/>
      <c r="C240" s="348"/>
      <c r="D240" s="421" t="s">
        <v>1404</v>
      </c>
      <c r="E240" s="422"/>
      <c r="F240" s="423">
        <f>15*1.1</f>
        <v>16.5</v>
      </c>
      <c r="G240" s="352"/>
      <c r="H240" s="353"/>
      <c r="I240" s="353"/>
      <c r="J240" s="353"/>
      <c r="K240" s="353"/>
      <c r="L240" s="353"/>
      <c r="M240" s="353">
        <f>F240</f>
        <v>16.5</v>
      </c>
      <c r="N240" s="405"/>
      <c r="O240" s="352"/>
    </row>
    <row r="241" spans="1:15">
      <c r="A241" s="354"/>
      <c r="B241" s="354"/>
      <c r="C241" s="355"/>
      <c r="D241" s="356"/>
      <c r="E241" s="362"/>
      <c r="F241" s="358"/>
      <c r="G241" s="359"/>
      <c r="H241" s="360"/>
      <c r="I241" s="360"/>
      <c r="J241" s="360"/>
      <c r="K241" s="360"/>
      <c r="L241" s="360"/>
      <c r="M241" s="360"/>
      <c r="N241" s="405"/>
      <c r="O241" s="352"/>
    </row>
    <row r="242" spans="1:15" ht="31.5">
      <c r="A242" s="339" t="s">
        <v>1437</v>
      </c>
      <c r="B242" s="339" t="s">
        <v>3</v>
      </c>
      <c r="C242" s="340" t="s">
        <v>368</v>
      </c>
      <c r="D242" s="341" t="s">
        <v>369</v>
      </c>
      <c r="E242" s="342" t="s">
        <v>180</v>
      </c>
      <c r="F242" s="343"/>
      <c r="G242" s="344"/>
      <c r="H242" s="345"/>
      <c r="I242" s="345"/>
      <c r="J242" s="345"/>
      <c r="K242" s="345"/>
      <c r="L242" s="345"/>
      <c r="M242" s="346">
        <f>SUM(M243:M245)</f>
        <v>297.00000000000006</v>
      </c>
      <c r="N242" s="408"/>
      <c r="O242" s="409"/>
    </row>
    <row r="243" spans="1:15">
      <c r="A243" s="347"/>
      <c r="B243" s="347"/>
      <c r="C243" s="348"/>
      <c r="D243" s="421" t="s">
        <v>1403</v>
      </c>
      <c r="E243" s="422"/>
      <c r="F243" s="423">
        <f>185*1.1</f>
        <v>203.50000000000003</v>
      </c>
      <c r="G243" s="352"/>
      <c r="H243" s="353"/>
      <c r="I243" s="353"/>
      <c r="J243" s="353"/>
      <c r="K243" s="353"/>
      <c r="L243" s="353"/>
      <c r="M243" s="353">
        <f>F243</f>
        <v>203.50000000000003</v>
      </c>
      <c r="N243" s="405"/>
      <c r="O243" s="352"/>
    </row>
    <row r="244" spans="1:15">
      <c r="A244" s="347"/>
      <c r="B244" s="347"/>
      <c r="C244" s="348"/>
      <c r="D244" s="421" t="s">
        <v>1404</v>
      </c>
      <c r="E244" s="422"/>
      <c r="F244" s="423">
        <f>85*1.1</f>
        <v>93.500000000000014</v>
      </c>
      <c r="G244" s="352"/>
      <c r="H244" s="353"/>
      <c r="I244" s="353"/>
      <c r="J244" s="353"/>
      <c r="K244" s="353"/>
      <c r="L244" s="353"/>
      <c r="M244" s="353">
        <f>F244</f>
        <v>93.500000000000014</v>
      </c>
      <c r="N244" s="405"/>
      <c r="O244" s="352"/>
    </row>
    <row r="245" spans="1:15">
      <c r="A245" s="354"/>
      <c r="B245" s="354"/>
      <c r="C245" s="355"/>
      <c r="D245" s="356"/>
      <c r="E245" s="362"/>
      <c r="F245" s="358"/>
      <c r="G245" s="359"/>
      <c r="H245" s="360"/>
      <c r="I245" s="360"/>
      <c r="J245" s="360"/>
      <c r="K245" s="360"/>
      <c r="L245" s="360"/>
      <c r="M245" s="360"/>
      <c r="N245" s="405"/>
      <c r="O245" s="352"/>
    </row>
    <row r="246" spans="1:15">
      <c r="A246" s="339" t="s">
        <v>1438</v>
      </c>
      <c r="B246" s="339" t="s">
        <v>3</v>
      </c>
      <c r="C246" s="340" t="s">
        <v>937</v>
      </c>
      <c r="D246" s="341" t="s">
        <v>938</v>
      </c>
      <c r="E246" s="342" t="s">
        <v>167</v>
      </c>
      <c r="F246" s="343"/>
      <c r="G246" s="344"/>
      <c r="H246" s="345"/>
      <c r="I246" s="345"/>
      <c r="J246" s="345"/>
      <c r="K246" s="345"/>
      <c r="L246" s="345"/>
      <c r="M246" s="346">
        <f>SUM(M247:M249)</f>
        <v>98</v>
      </c>
      <c r="N246" s="408"/>
      <c r="O246" s="409"/>
    </row>
    <row r="247" spans="1:15">
      <c r="A247" s="347"/>
      <c r="B247" s="347"/>
      <c r="C247" s="348"/>
      <c r="D247" s="421" t="s">
        <v>1439</v>
      </c>
      <c r="E247" s="422"/>
      <c r="F247" s="423">
        <v>60</v>
      </c>
      <c r="G247" s="352"/>
      <c r="H247" s="353"/>
      <c r="I247" s="353"/>
      <c r="J247" s="353"/>
      <c r="K247" s="353"/>
      <c r="L247" s="353"/>
      <c r="M247" s="353">
        <f>F247</f>
        <v>60</v>
      </c>
      <c r="N247" s="405"/>
      <c r="O247" s="352"/>
    </row>
    <row r="248" spans="1:15">
      <c r="A248" s="347"/>
      <c r="B248" s="347"/>
      <c r="C248" s="348"/>
      <c r="D248" s="421" t="s">
        <v>1440</v>
      </c>
      <c r="E248" s="422"/>
      <c r="F248" s="423">
        <v>38</v>
      </c>
      <c r="G248" s="352"/>
      <c r="H248" s="353"/>
      <c r="I248" s="353"/>
      <c r="J248" s="353"/>
      <c r="K248" s="353"/>
      <c r="L248" s="353"/>
      <c r="M248" s="353">
        <f>F248</f>
        <v>38</v>
      </c>
      <c r="N248" s="405"/>
      <c r="O248" s="352"/>
    </row>
    <row r="249" spans="1:15">
      <c r="A249" s="354"/>
      <c r="B249" s="354"/>
      <c r="C249" s="355"/>
      <c r="D249" s="356"/>
      <c r="E249" s="362"/>
      <c r="F249" s="358"/>
      <c r="G249" s="359"/>
      <c r="H249" s="360"/>
      <c r="I249" s="360"/>
      <c r="J249" s="360"/>
      <c r="K249" s="360"/>
      <c r="L249" s="360"/>
      <c r="M249" s="360"/>
      <c r="N249" s="405"/>
      <c r="O249" s="352"/>
    </row>
    <row r="250" spans="1:15" ht="63">
      <c r="A250" s="339" t="s">
        <v>1441</v>
      </c>
      <c r="B250" s="339" t="s">
        <v>3</v>
      </c>
      <c r="C250" s="340" t="s">
        <v>1442</v>
      </c>
      <c r="D250" s="341" t="s">
        <v>1443</v>
      </c>
      <c r="E250" s="342" t="s">
        <v>167</v>
      </c>
      <c r="F250" s="343"/>
      <c r="G250" s="344"/>
      <c r="H250" s="345"/>
      <c r="I250" s="345"/>
      <c r="J250" s="345"/>
      <c r="K250" s="345"/>
      <c r="L250" s="345"/>
      <c r="M250" s="346">
        <f>SUM(M251:M253)</f>
        <v>93</v>
      </c>
      <c r="N250" s="408"/>
      <c r="O250" s="409"/>
    </row>
    <row r="251" spans="1:15">
      <c r="A251" s="347"/>
      <c r="B251" s="347"/>
      <c r="C251" s="348"/>
      <c r="D251" s="421" t="s">
        <v>1439</v>
      </c>
      <c r="E251" s="422"/>
      <c r="F251" s="423">
        <v>57</v>
      </c>
      <c r="G251" s="352"/>
      <c r="H251" s="353"/>
      <c r="I251" s="353"/>
      <c r="J251" s="353"/>
      <c r="K251" s="353"/>
      <c r="L251" s="353"/>
      <c r="M251" s="353">
        <f>F251</f>
        <v>57</v>
      </c>
      <c r="N251" s="405"/>
      <c r="O251" s="352"/>
    </row>
    <row r="252" spans="1:15">
      <c r="A252" s="347"/>
      <c r="B252" s="347"/>
      <c r="C252" s="348"/>
      <c r="D252" s="421" t="s">
        <v>1440</v>
      </c>
      <c r="E252" s="422"/>
      <c r="F252" s="423">
        <v>36</v>
      </c>
      <c r="G252" s="352"/>
      <c r="H252" s="353"/>
      <c r="I252" s="353"/>
      <c r="J252" s="353"/>
      <c r="K252" s="353"/>
      <c r="L252" s="353"/>
      <c r="M252" s="353">
        <f>F252</f>
        <v>36</v>
      </c>
      <c r="N252" s="405"/>
      <c r="O252" s="352"/>
    </row>
    <row r="253" spans="1:15">
      <c r="A253" s="354"/>
      <c r="B253" s="354"/>
      <c r="C253" s="355"/>
      <c r="D253" s="356"/>
      <c r="E253" s="362"/>
      <c r="F253" s="358"/>
      <c r="G253" s="359"/>
      <c r="H253" s="360"/>
      <c r="I253" s="360"/>
      <c r="J253" s="360"/>
      <c r="K253" s="360"/>
      <c r="L253" s="360"/>
      <c r="M253" s="360"/>
      <c r="N253" s="405"/>
      <c r="O253" s="352"/>
    </row>
    <row r="254" spans="1:15" ht="63">
      <c r="A254" s="339" t="s">
        <v>1444</v>
      </c>
      <c r="B254" s="339" t="s">
        <v>4</v>
      </c>
      <c r="C254" s="340" t="s">
        <v>1445</v>
      </c>
      <c r="D254" s="341" t="s">
        <v>1446</v>
      </c>
      <c r="E254" s="342" t="s">
        <v>167</v>
      </c>
      <c r="F254" s="343"/>
      <c r="G254" s="344"/>
      <c r="H254" s="345"/>
      <c r="I254" s="345"/>
      <c r="J254" s="345"/>
      <c r="K254" s="345"/>
      <c r="L254" s="345"/>
      <c r="M254" s="346">
        <f>SUM(M255:M257)</f>
        <v>21</v>
      </c>
      <c r="N254" s="408"/>
      <c r="O254" s="409"/>
    </row>
    <row r="255" spans="1:15">
      <c r="A255" s="347"/>
      <c r="B255" s="347"/>
      <c r="C255" s="348"/>
      <c r="D255" s="421" t="s">
        <v>1439</v>
      </c>
      <c r="E255" s="422"/>
      <c r="F255" s="423">
        <v>14</v>
      </c>
      <c r="G255" s="352"/>
      <c r="H255" s="353"/>
      <c r="I255" s="353"/>
      <c r="J255" s="353"/>
      <c r="K255" s="353"/>
      <c r="L255" s="353"/>
      <c r="M255" s="353">
        <f>F255</f>
        <v>14</v>
      </c>
      <c r="N255" s="405"/>
      <c r="O255" s="352"/>
    </row>
    <row r="256" spans="1:15">
      <c r="A256" s="347"/>
      <c r="B256" s="347"/>
      <c r="C256" s="348"/>
      <c r="D256" s="421" t="s">
        <v>1440</v>
      </c>
      <c r="E256" s="422"/>
      <c r="F256" s="423">
        <v>7</v>
      </c>
      <c r="G256" s="352"/>
      <c r="H256" s="353"/>
      <c r="I256" s="353"/>
      <c r="J256" s="353"/>
      <c r="K256" s="353"/>
      <c r="L256" s="353"/>
      <c r="M256" s="353">
        <f>F256</f>
        <v>7</v>
      </c>
      <c r="N256" s="405"/>
      <c r="O256" s="352"/>
    </row>
    <row r="257" spans="1:15">
      <c r="A257" s="354"/>
      <c r="B257" s="354"/>
      <c r="C257" s="355"/>
      <c r="D257" s="356"/>
      <c r="E257" s="362"/>
      <c r="F257" s="358"/>
      <c r="G257" s="359"/>
      <c r="H257" s="360"/>
      <c r="I257" s="360"/>
      <c r="J257" s="360"/>
      <c r="K257" s="360"/>
      <c r="L257" s="360"/>
      <c r="M257" s="360"/>
      <c r="N257" s="405"/>
      <c r="O257" s="352"/>
    </row>
    <row r="258" spans="1:15">
      <c r="A258" s="339" t="s">
        <v>1447</v>
      </c>
      <c r="B258" s="339" t="s">
        <v>3</v>
      </c>
      <c r="C258" s="340" t="s">
        <v>362</v>
      </c>
      <c r="D258" s="341" t="s">
        <v>363</v>
      </c>
      <c r="E258" s="342" t="s">
        <v>180</v>
      </c>
      <c r="F258" s="343"/>
      <c r="G258" s="344"/>
      <c r="H258" s="345"/>
      <c r="I258" s="345"/>
      <c r="J258" s="345"/>
      <c r="K258" s="345"/>
      <c r="L258" s="345"/>
      <c r="M258" s="346">
        <f>SUM(M259:M260)</f>
        <v>52</v>
      </c>
      <c r="N258" s="408"/>
      <c r="O258" s="409"/>
    </row>
    <row r="259" spans="1:15">
      <c r="A259" s="347"/>
      <c r="B259" s="347"/>
      <c r="C259" s="348"/>
      <c r="D259" s="421" t="s">
        <v>1405</v>
      </c>
      <c r="E259" s="422"/>
      <c r="F259" s="423">
        <v>52</v>
      </c>
      <c r="G259" s="352"/>
      <c r="H259" s="353"/>
      <c r="I259" s="353"/>
      <c r="J259" s="353"/>
      <c r="K259" s="353"/>
      <c r="L259" s="353"/>
      <c r="M259" s="353">
        <f>F259</f>
        <v>52</v>
      </c>
      <c r="N259" s="405"/>
      <c r="O259" s="352"/>
    </row>
    <row r="260" spans="1:15">
      <c r="A260" s="354"/>
      <c r="B260" s="354"/>
      <c r="C260" s="355"/>
      <c r="D260" s="356"/>
      <c r="E260" s="362"/>
      <c r="F260" s="358"/>
      <c r="G260" s="359"/>
      <c r="H260" s="360"/>
      <c r="I260" s="360"/>
      <c r="J260" s="360"/>
      <c r="K260" s="360"/>
      <c r="L260" s="360"/>
      <c r="M260" s="360"/>
      <c r="N260" s="405"/>
      <c r="O260" s="352"/>
    </row>
    <row r="261" spans="1:15">
      <c r="A261" s="339" t="s">
        <v>1448</v>
      </c>
      <c r="B261" s="339" t="s">
        <v>3</v>
      </c>
      <c r="C261" s="340" t="s">
        <v>1449</v>
      </c>
      <c r="D261" s="341" t="s">
        <v>1450</v>
      </c>
      <c r="E261" s="342" t="s">
        <v>180</v>
      </c>
      <c r="F261" s="343"/>
      <c r="G261" s="344"/>
      <c r="H261" s="345"/>
      <c r="I261" s="345"/>
      <c r="J261" s="345"/>
      <c r="K261" s="345"/>
      <c r="L261" s="345"/>
      <c r="M261" s="346">
        <f>SUM(M262:M263)</f>
        <v>34</v>
      </c>
      <c r="N261" s="408"/>
      <c r="O261" s="409"/>
    </row>
    <row r="262" spans="1:15">
      <c r="A262" s="347"/>
      <c r="B262" s="347"/>
      <c r="C262" s="348"/>
      <c r="D262" s="421" t="s">
        <v>1405</v>
      </c>
      <c r="E262" s="422"/>
      <c r="F262" s="423">
        <v>34</v>
      </c>
      <c r="G262" s="352"/>
      <c r="H262" s="353"/>
      <c r="I262" s="353"/>
      <c r="J262" s="353"/>
      <c r="K262" s="353"/>
      <c r="L262" s="353"/>
      <c r="M262" s="353">
        <f>F262</f>
        <v>34</v>
      </c>
      <c r="N262" s="405"/>
      <c r="O262" s="352"/>
    </row>
    <row r="263" spans="1:15">
      <c r="A263" s="354"/>
      <c r="B263" s="354"/>
      <c r="C263" s="355"/>
      <c r="D263" s="356"/>
      <c r="E263" s="362"/>
      <c r="F263" s="358"/>
      <c r="G263" s="359"/>
      <c r="H263" s="360"/>
      <c r="I263" s="360"/>
      <c r="J263" s="360"/>
      <c r="K263" s="360"/>
      <c r="L263" s="360"/>
      <c r="M263" s="360"/>
      <c r="N263" s="405"/>
      <c r="O263" s="352"/>
    </row>
    <row r="264" spans="1:15">
      <c r="A264" s="339" t="s">
        <v>1451</v>
      </c>
      <c r="B264" s="339" t="s">
        <v>3</v>
      </c>
      <c r="C264" s="340" t="s">
        <v>214</v>
      </c>
      <c r="D264" s="341" t="s">
        <v>365</v>
      </c>
      <c r="E264" s="342" t="s">
        <v>180</v>
      </c>
      <c r="F264" s="343"/>
      <c r="G264" s="344"/>
      <c r="H264" s="345"/>
      <c r="I264" s="345"/>
      <c r="J264" s="345"/>
      <c r="K264" s="345"/>
      <c r="L264" s="345"/>
      <c r="M264" s="346">
        <f>SUM(M265:M266)</f>
        <v>7</v>
      </c>
      <c r="N264" s="408"/>
      <c r="O264" s="409"/>
    </row>
    <row r="265" spans="1:15">
      <c r="A265" s="347"/>
      <c r="B265" s="347"/>
      <c r="C265" s="348"/>
      <c r="D265" s="421" t="s">
        <v>1405</v>
      </c>
      <c r="E265" s="422"/>
      <c r="F265" s="423">
        <v>7</v>
      </c>
      <c r="G265" s="352"/>
      <c r="H265" s="353"/>
      <c r="I265" s="353"/>
      <c r="J265" s="353"/>
      <c r="K265" s="353"/>
      <c r="L265" s="353"/>
      <c r="M265" s="353">
        <f>F265</f>
        <v>7</v>
      </c>
      <c r="N265" s="405"/>
      <c r="O265" s="352"/>
    </row>
    <row r="266" spans="1:15">
      <c r="A266" s="354"/>
      <c r="B266" s="354"/>
      <c r="C266" s="355"/>
      <c r="D266" s="356"/>
      <c r="E266" s="362"/>
      <c r="F266" s="358"/>
      <c r="G266" s="359"/>
      <c r="H266" s="360"/>
      <c r="I266" s="360"/>
      <c r="J266" s="360"/>
      <c r="K266" s="360"/>
      <c r="L266" s="360"/>
      <c r="M266" s="360"/>
      <c r="N266" s="405"/>
      <c r="O266" s="352"/>
    </row>
    <row r="267" spans="1:15" ht="31.5">
      <c r="A267" s="339" t="s">
        <v>1452</v>
      </c>
      <c r="B267" s="339" t="s">
        <v>3</v>
      </c>
      <c r="C267" s="340" t="s">
        <v>229</v>
      </c>
      <c r="D267" s="341" t="s">
        <v>230</v>
      </c>
      <c r="E267" s="342" t="s">
        <v>167</v>
      </c>
      <c r="F267" s="343"/>
      <c r="G267" s="344"/>
      <c r="H267" s="345"/>
      <c r="I267" s="345"/>
      <c r="J267" s="345"/>
      <c r="K267" s="345"/>
      <c r="L267" s="345"/>
      <c r="M267" s="346">
        <f>SUM(M268:M269)</f>
        <v>5</v>
      </c>
      <c r="N267" s="408"/>
      <c r="O267" s="409"/>
    </row>
    <row r="268" spans="1:15">
      <c r="A268" s="347"/>
      <c r="B268" s="347"/>
      <c r="C268" s="348"/>
      <c r="D268" s="421" t="s">
        <v>1405</v>
      </c>
      <c r="E268" s="422"/>
      <c r="F268" s="423">
        <v>5</v>
      </c>
      <c r="G268" s="352"/>
      <c r="H268" s="353"/>
      <c r="I268" s="353"/>
      <c r="J268" s="353"/>
      <c r="K268" s="353"/>
      <c r="L268" s="353"/>
      <c r="M268" s="353">
        <f>F268</f>
        <v>5</v>
      </c>
      <c r="N268" s="405"/>
      <c r="O268" s="352"/>
    </row>
    <row r="269" spans="1:15">
      <c r="A269" s="354"/>
      <c r="B269" s="354"/>
      <c r="C269" s="355"/>
      <c r="D269" s="356"/>
      <c r="E269" s="362"/>
      <c r="F269" s="358"/>
      <c r="G269" s="359"/>
      <c r="H269" s="360"/>
      <c r="I269" s="360"/>
      <c r="J269" s="360"/>
      <c r="K269" s="360"/>
      <c r="L269" s="360"/>
      <c r="M269" s="360"/>
      <c r="N269" s="405"/>
      <c r="O269" s="352"/>
    </row>
    <row r="270" spans="1:15" ht="31.5">
      <c r="A270" s="339" t="s">
        <v>1453</v>
      </c>
      <c r="B270" s="339" t="s">
        <v>3</v>
      </c>
      <c r="C270" s="340" t="s">
        <v>918</v>
      </c>
      <c r="D270" s="341" t="s">
        <v>919</v>
      </c>
      <c r="E270" s="342" t="s">
        <v>167</v>
      </c>
      <c r="F270" s="343"/>
      <c r="G270" s="344"/>
      <c r="H270" s="345"/>
      <c r="I270" s="345"/>
      <c r="J270" s="345"/>
      <c r="K270" s="345"/>
      <c r="L270" s="345"/>
      <c r="M270" s="346">
        <f>SUM(M271:M272)</f>
        <v>5</v>
      </c>
      <c r="N270" s="408"/>
      <c r="O270" s="409"/>
    </row>
    <row r="271" spans="1:15">
      <c r="A271" s="347"/>
      <c r="B271" s="347"/>
      <c r="C271" s="348"/>
      <c r="D271" s="421" t="s">
        <v>1405</v>
      </c>
      <c r="E271" s="422"/>
      <c r="F271" s="423">
        <v>5</v>
      </c>
      <c r="G271" s="352"/>
      <c r="H271" s="353"/>
      <c r="I271" s="353"/>
      <c r="J271" s="353"/>
      <c r="K271" s="353"/>
      <c r="L271" s="353"/>
      <c r="M271" s="353">
        <f>F271</f>
        <v>5</v>
      </c>
      <c r="N271" s="405"/>
      <c r="O271" s="352"/>
    </row>
    <row r="272" spans="1:15">
      <c r="A272" s="354"/>
      <c r="B272" s="354"/>
      <c r="C272" s="355"/>
      <c r="D272" s="356"/>
      <c r="E272" s="362"/>
      <c r="F272" s="358"/>
      <c r="G272" s="359"/>
      <c r="H272" s="360"/>
      <c r="I272" s="360"/>
      <c r="J272" s="360"/>
      <c r="K272" s="360"/>
      <c r="L272" s="360"/>
      <c r="M272" s="360"/>
      <c r="N272" s="405"/>
      <c r="O272" s="352"/>
    </row>
    <row r="273" spans="1:15" ht="31.5">
      <c r="A273" s="339" t="s">
        <v>1454</v>
      </c>
      <c r="B273" s="339" t="s">
        <v>3</v>
      </c>
      <c r="C273" s="340" t="s">
        <v>198</v>
      </c>
      <c r="D273" s="341" t="s">
        <v>1455</v>
      </c>
      <c r="E273" s="342" t="s">
        <v>167</v>
      </c>
      <c r="F273" s="343"/>
      <c r="G273" s="344"/>
      <c r="H273" s="345"/>
      <c r="I273" s="345"/>
      <c r="J273" s="345"/>
      <c r="K273" s="345"/>
      <c r="L273" s="345"/>
      <c r="M273" s="346">
        <f>SUM(M274:M275)</f>
        <v>1</v>
      </c>
      <c r="N273" s="408"/>
      <c r="O273" s="409"/>
    </row>
    <row r="274" spans="1:15">
      <c r="A274" s="347"/>
      <c r="B274" s="347"/>
      <c r="C274" s="348"/>
      <c r="D274" s="421" t="s">
        <v>1405</v>
      </c>
      <c r="E274" s="422"/>
      <c r="F274" s="423">
        <v>1</v>
      </c>
      <c r="G274" s="352"/>
      <c r="H274" s="353"/>
      <c r="I274" s="353"/>
      <c r="J274" s="353"/>
      <c r="K274" s="353"/>
      <c r="L274" s="353"/>
      <c r="M274" s="353">
        <f>F274</f>
        <v>1</v>
      </c>
      <c r="N274" s="405"/>
      <c r="O274" s="352"/>
    </row>
    <row r="275" spans="1:15">
      <c r="A275" s="354"/>
      <c r="B275" s="354"/>
      <c r="C275" s="355"/>
      <c r="D275" s="356"/>
      <c r="E275" s="362"/>
      <c r="F275" s="358"/>
      <c r="G275" s="359"/>
      <c r="H275" s="360"/>
      <c r="I275" s="360"/>
      <c r="J275" s="360"/>
      <c r="K275" s="360"/>
      <c r="L275" s="360"/>
      <c r="M275" s="360"/>
      <c r="N275" s="405"/>
      <c r="O275" s="352"/>
    </row>
    <row r="276" spans="1:15" ht="31.5">
      <c r="A276" s="339" t="s">
        <v>1456</v>
      </c>
      <c r="B276" s="339" t="s">
        <v>3</v>
      </c>
      <c r="C276" s="340" t="s">
        <v>960</v>
      </c>
      <c r="D276" s="341" t="s">
        <v>1457</v>
      </c>
      <c r="E276" s="342" t="s">
        <v>167</v>
      </c>
      <c r="F276" s="343"/>
      <c r="G276" s="344"/>
      <c r="H276" s="345"/>
      <c r="I276" s="345"/>
      <c r="J276" s="345"/>
      <c r="K276" s="345"/>
      <c r="L276" s="345"/>
      <c r="M276" s="346">
        <f>SUM(M277:M278)</f>
        <v>1</v>
      </c>
      <c r="N276" s="408"/>
      <c r="O276" s="409"/>
    </row>
    <row r="277" spans="1:15">
      <c r="A277" s="347"/>
      <c r="B277" s="347"/>
      <c r="C277" s="348"/>
      <c r="D277" s="421" t="s">
        <v>1405</v>
      </c>
      <c r="E277" s="422"/>
      <c r="F277" s="423">
        <v>1</v>
      </c>
      <c r="G277" s="352"/>
      <c r="H277" s="353"/>
      <c r="I277" s="353"/>
      <c r="J277" s="353"/>
      <c r="K277" s="353"/>
      <c r="L277" s="353"/>
      <c r="M277" s="353">
        <f>F277</f>
        <v>1</v>
      </c>
      <c r="N277" s="405"/>
      <c r="O277" s="352"/>
    </row>
    <row r="278" spans="1:15">
      <c r="A278" s="354"/>
      <c r="B278" s="354"/>
      <c r="C278" s="355"/>
      <c r="D278" s="356"/>
      <c r="E278" s="362"/>
      <c r="F278" s="358"/>
      <c r="G278" s="359"/>
      <c r="H278" s="360"/>
      <c r="I278" s="360"/>
      <c r="J278" s="360"/>
      <c r="K278" s="360"/>
      <c r="L278" s="360"/>
      <c r="M278" s="360"/>
      <c r="N278" s="405"/>
      <c r="O278" s="352"/>
    </row>
    <row r="279" spans="1:15" ht="31.5">
      <c r="A279" s="339" t="s">
        <v>1458</v>
      </c>
      <c r="B279" s="339" t="s">
        <v>3</v>
      </c>
      <c r="C279" s="340" t="s">
        <v>201</v>
      </c>
      <c r="D279" s="341" t="s">
        <v>1459</v>
      </c>
      <c r="E279" s="342" t="s">
        <v>167</v>
      </c>
      <c r="F279" s="343"/>
      <c r="G279" s="344"/>
      <c r="H279" s="345"/>
      <c r="I279" s="345"/>
      <c r="J279" s="345"/>
      <c r="K279" s="345"/>
      <c r="L279" s="345"/>
      <c r="M279" s="346">
        <f>SUM(M280:M281)</f>
        <v>6</v>
      </c>
      <c r="N279" s="408"/>
      <c r="O279" s="409"/>
    </row>
    <row r="280" spans="1:15">
      <c r="A280" s="347"/>
      <c r="B280" s="347"/>
      <c r="C280" s="348"/>
      <c r="D280" s="421" t="s">
        <v>1405</v>
      </c>
      <c r="E280" s="422"/>
      <c r="F280" s="423">
        <v>6</v>
      </c>
      <c r="G280" s="352"/>
      <c r="H280" s="353"/>
      <c r="I280" s="353"/>
      <c r="J280" s="353"/>
      <c r="K280" s="353"/>
      <c r="L280" s="353"/>
      <c r="M280" s="353">
        <f>F280</f>
        <v>6</v>
      </c>
      <c r="N280" s="405"/>
      <c r="O280" s="352"/>
    </row>
    <row r="281" spans="1:15">
      <c r="A281" s="354"/>
      <c r="B281" s="354"/>
      <c r="C281" s="355"/>
      <c r="D281" s="356"/>
      <c r="E281" s="362"/>
      <c r="F281" s="358"/>
      <c r="G281" s="359"/>
      <c r="H281" s="360"/>
      <c r="I281" s="360"/>
      <c r="J281" s="360"/>
      <c r="K281" s="360"/>
      <c r="L281" s="360"/>
      <c r="M281" s="360"/>
      <c r="N281" s="405"/>
      <c r="O281" s="352"/>
    </row>
    <row r="282" spans="1:15" ht="31.5">
      <c r="A282" s="339" t="s">
        <v>1460</v>
      </c>
      <c r="B282" s="339" t="s">
        <v>3</v>
      </c>
      <c r="C282" s="340" t="s">
        <v>1461</v>
      </c>
      <c r="D282" s="341" t="s">
        <v>1462</v>
      </c>
      <c r="E282" s="342" t="s">
        <v>167</v>
      </c>
      <c r="F282" s="343"/>
      <c r="G282" s="344"/>
      <c r="H282" s="345"/>
      <c r="I282" s="345"/>
      <c r="J282" s="345"/>
      <c r="K282" s="345"/>
      <c r="L282" s="345"/>
      <c r="M282" s="346">
        <f>SUM(M283:M284)</f>
        <v>3</v>
      </c>
      <c r="N282" s="408"/>
      <c r="O282" s="409"/>
    </row>
    <row r="283" spans="1:15">
      <c r="A283" s="347"/>
      <c r="B283" s="347"/>
      <c r="C283" s="348"/>
      <c r="D283" s="421" t="s">
        <v>1405</v>
      </c>
      <c r="E283" s="422"/>
      <c r="F283" s="423">
        <v>3</v>
      </c>
      <c r="G283" s="352"/>
      <c r="H283" s="353"/>
      <c r="I283" s="353"/>
      <c r="J283" s="353"/>
      <c r="K283" s="353"/>
      <c r="L283" s="353"/>
      <c r="M283" s="353">
        <f>F283</f>
        <v>3</v>
      </c>
      <c r="N283" s="405"/>
      <c r="O283" s="352"/>
    </row>
    <row r="284" spans="1:15">
      <c r="A284" s="354"/>
      <c r="B284" s="354"/>
      <c r="C284" s="355"/>
      <c r="D284" s="356"/>
      <c r="E284" s="362"/>
      <c r="F284" s="358"/>
      <c r="G284" s="359"/>
      <c r="H284" s="360"/>
      <c r="I284" s="360"/>
      <c r="J284" s="360"/>
      <c r="K284" s="360"/>
      <c r="L284" s="360"/>
      <c r="M284" s="360"/>
      <c r="N284" s="405"/>
      <c r="O284" s="352"/>
    </row>
    <row r="285" spans="1:15" ht="31.5">
      <c r="A285" s="339" t="s">
        <v>1463</v>
      </c>
      <c r="B285" s="339" t="s">
        <v>160</v>
      </c>
      <c r="C285" s="340" t="s">
        <v>1464</v>
      </c>
      <c r="D285" s="341" t="s">
        <v>1465</v>
      </c>
      <c r="E285" s="342" t="s">
        <v>167</v>
      </c>
      <c r="F285" s="343"/>
      <c r="G285" s="344"/>
      <c r="H285" s="345"/>
      <c r="I285" s="345"/>
      <c r="J285" s="345"/>
      <c r="K285" s="345"/>
      <c r="L285" s="345"/>
      <c r="M285" s="346">
        <f>SUM(M286:M287)</f>
        <v>2</v>
      </c>
      <c r="N285" s="408"/>
      <c r="O285" s="409"/>
    </row>
    <row r="286" spans="1:15">
      <c r="A286" s="347"/>
      <c r="B286" s="347"/>
      <c r="C286" s="348"/>
      <c r="D286" s="421" t="s">
        <v>1405</v>
      </c>
      <c r="E286" s="422"/>
      <c r="F286" s="423">
        <v>2</v>
      </c>
      <c r="G286" s="352"/>
      <c r="H286" s="353"/>
      <c r="I286" s="353"/>
      <c r="J286" s="353"/>
      <c r="K286" s="353"/>
      <c r="L286" s="353"/>
      <c r="M286" s="353">
        <f>F286</f>
        <v>2</v>
      </c>
      <c r="N286" s="405"/>
      <c r="O286" s="352"/>
    </row>
    <row r="287" spans="1:15">
      <c r="A287" s="354"/>
      <c r="B287" s="354"/>
      <c r="C287" s="355"/>
      <c r="D287" s="356"/>
      <c r="E287" s="362"/>
      <c r="F287" s="358"/>
      <c r="G287" s="359"/>
      <c r="H287" s="360"/>
      <c r="I287" s="360"/>
      <c r="J287" s="360"/>
      <c r="K287" s="360"/>
      <c r="L287" s="360"/>
      <c r="M287" s="360"/>
      <c r="N287" s="405"/>
      <c r="O287" s="352"/>
    </row>
    <row r="288" spans="1:15">
      <c r="A288" s="339" t="s">
        <v>1466</v>
      </c>
      <c r="B288" s="339" t="s">
        <v>3</v>
      </c>
      <c r="C288" s="340" t="s">
        <v>217</v>
      </c>
      <c r="D288" s="341" t="s">
        <v>1467</v>
      </c>
      <c r="E288" s="342" t="s">
        <v>180</v>
      </c>
      <c r="F288" s="343"/>
      <c r="G288" s="344"/>
      <c r="H288" s="345"/>
      <c r="I288" s="345"/>
      <c r="J288" s="345"/>
      <c r="K288" s="345"/>
      <c r="L288" s="345"/>
      <c r="M288" s="346">
        <f>SUM(M289:M290)</f>
        <v>15</v>
      </c>
      <c r="N288" s="408"/>
      <c r="O288" s="409"/>
    </row>
    <row r="289" spans="1:15">
      <c r="A289" s="347"/>
      <c r="B289" s="347"/>
      <c r="C289" s="348"/>
      <c r="D289" s="421" t="s">
        <v>1405</v>
      </c>
      <c r="E289" s="422"/>
      <c r="F289" s="423">
        <v>15</v>
      </c>
      <c r="G289" s="352"/>
      <c r="H289" s="353"/>
      <c r="I289" s="353"/>
      <c r="J289" s="353"/>
      <c r="K289" s="353"/>
      <c r="L289" s="353"/>
      <c r="M289" s="353">
        <f>F289</f>
        <v>15</v>
      </c>
      <c r="N289" s="405"/>
      <c r="O289" s="352"/>
    </row>
    <row r="290" spans="1:15">
      <c r="A290" s="354"/>
      <c r="B290" s="354"/>
      <c r="C290" s="355"/>
      <c r="D290" s="356"/>
      <c r="E290" s="362"/>
      <c r="F290" s="358"/>
      <c r="G290" s="359"/>
      <c r="H290" s="360"/>
      <c r="I290" s="360"/>
      <c r="J290" s="360"/>
      <c r="K290" s="360"/>
      <c r="L290" s="360"/>
      <c r="M290" s="360"/>
      <c r="N290" s="405"/>
      <c r="O290" s="352"/>
    </row>
    <row r="291" spans="1:15">
      <c r="A291" s="339" t="s">
        <v>1468</v>
      </c>
      <c r="B291" s="339" t="s">
        <v>3</v>
      </c>
      <c r="C291" s="340" t="s">
        <v>954</v>
      </c>
      <c r="D291" s="341" t="s">
        <v>1469</v>
      </c>
      <c r="E291" s="342" t="s">
        <v>180</v>
      </c>
      <c r="F291" s="343"/>
      <c r="G291" s="344"/>
      <c r="H291" s="345"/>
      <c r="I291" s="345"/>
      <c r="J291" s="345"/>
      <c r="K291" s="345"/>
      <c r="L291" s="345"/>
      <c r="M291" s="346">
        <f>SUM(M292:M293)</f>
        <v>6</v>
      </c>
      <c r="N291" s="408"/>
      <c r="O291" s="409"/>
    </row>
    <row r="292" spans="1:15">
      <c r="A292" s="347"/>
      <c r="B292" s="347"/>
      <c r="C292" s="348"/>
      <c r="D292" s="421" t="s">
        <v>1405</v>
      </c>
      <c r="E292" s="422"/>
      <c r="F292" s="423">
        <v>6</v>
      </c>
      <c r="G292" s="352"/>
      <c r="H292" s="353"/>
      <c r="I292" s="353"/>
      <c r="J292" s="353"/>
      <c r="K292" s="353"/>
      <c r="L292" s="353"/>
      <c r="M292" s="353">
        <f>F292</f>
        <v>6</v>
      </c>
      <c r="N292" s="405"/>
      <c r="O292" s="352"/>
    </row>
    <row r="293" spans="1:15">
      <c r="A293" s="354"/>
      <c r="B293" s="354"/>
      <c r="C293" s="355"/>
      <c r="D293" s="356"/>
      <c r="E293" s="362"/>
      <c r="F293" s="358"/>
      <c r="G293" s="359"/>
      <c r="H293" s="360"/>
      <c r="I293" s="360"/>
      <c r="J293" s="360"/>
      <c r="K293" s="360"/>
      <c r="L293" s="360"/>
      <c r="M293" s="360"/>
      <c r="N293" s="405"/>
      <c r="O293" s="352"/>
    </row>
    <row r="294" spans="1:15">
      <c r="A294" s="339" t="s">
        <v>1470</v>
      </c>
      <c r="B294" s="339" t="s">
        <v>160</v>
      </c>
      <c r="C294" s="340" t="s">
        <v>1471</v>
      </c>
      <c r="D294" s="341" t="s">
        <v>1472</v>
      </c>
      <c r="E294" s="342" t="s">
        <v>180</v>
      </c>
      <c r="F294" s="343"/>
      <c r="G294" s="344"/>
      <c r="H294" s="345"/>
      <c r="I294" s="345"/>
      <c r="J294" s="345"/>
      <c r="K294" s="345"/>
      <c r="L294" s="345"/>
      <c r="M294" s="346">
        <f>SUM(M295:M296)</f>
        <v>14</v>
      </c>
      <c r="N294" s="408"/>
      <c r="O294" s="409"/>
    </row>
    <row r="295" spans="1:15">
      <c r="A295" s="347"/>
      <c r="B295" s="347"/>
      <c r="C295" s="348"/>
      <c r="D295" s="421" t="s">
        <v>1405</v>
      </c>
      <c r="E295" s="422"/>
      <c r="F295" s="423">
        <v>14</v>
      </c>
      <c r="G295" s="352"/>
      <c r="H295" s="353"/>
      <c r="I295" s="353"/>
      <c r="J295" s="353"/>
      <c r="K295" s="353"/>
      <c r="L295" s="353"/>
      <c r="M295" s="353">
        <f>F295</f>
        <v>14</v>
      </c>
      <c r="N295" s="405"/>
      <c r="O295" s="352"/>
    </row>
    <row r="296" spans="1:15">
      <c r="A296" s="354"/>
      <c r="B296" s="354"/>
      <c r="C296" s="355"/>
      <c r="D296" s="356"/>
      <c r="E296" s="362"/>
      <c r="F296" s="358"/>
      <c r="G296" s="359"/>
      <c r="H296" s="360"/>
      <c r="I296" s="360"/>
      <c r="J296" s="360"/>
      <c r="K296" s="360"/>
      <c r="L296" s="360"/>
      <c r="M296" s="360"/>
      <c r="N296" s="405"/>
      <c r="O296" s="352"/>
    </row>
    <row r="297" spans="1:15" ht="31.5">
      <c r="A297" s="339" t="s">
        <v>1473</v>
      </c>
      <c r="B297" s="339" t="s">
        <v>3</v>
      </c>
      <c r="C297" s="340" t="s">
        <v>1474</v>
      </c>
      <c r="D297" s="341" t="s">
        <v>1475</v>
      </c>
      <c r="E297" s="342" t="s">
        <v>167</v>
      </c>
      <c r="F297" s="343"/>
      <c r="G297" s="344"/>
      <c r="H297" s="345"/>
      <c r="I297" s="345"/>
      <c r="J297" s="345"/>
      <c r="K297" s="345"/>
      <c r="L297" s="345"/>
      <c r="M297" s="346">
        <f>SUM(M298:M299)</f>
        <v>1</v>
      </c>
      <c r="N297" s="408"/>
      <c r="O297" s="409"/>
    </row>
    <row r="298" spans="1:15">
      <c r="A298" s="347"/>
      <c r="B298" s="347"/>
      <c r="C298" s="348"/>
      <c r="D298" s="421" t="s">
        <v>1405</v>
      </c>
      <c r="E298" s="422"/>
      <c r="F298" s="423">
        <v>1</v>
      </c>
      <c r="G298" s="352"/>
      <c r="H298" s="353"/>
      <c r="I298" s="353"/>
      <c r="J298" s="353"/>
      <c r="K298" s="353"/>
      <c r="L298" s="353"/>
      <c r="M298" s="353">
        <f>F298</f>
        <v>1</v>
      </c>
      <c r="N298" s="405"/>
      <c r="O298" s="352"/>
    </row>
    <row r="299" spans="1:15">
      <c r="A299" s="354"/>
      <c r="B299" s="354"/>
      <c r="C299" s="355"/>
      <c r="D299" s="356"/>
      <c r="E299" s="362"/>
      <c r="F299" s="358"/>
      <c r="G299" s="359"/>
      <c r="H299" s="360"/>
      <c r="I299" s="360"/>
      <c r="J299" s="360"/>
      <c r="K299" s="360"/>
      <c r="L299" s="360"/>
      <c r="M299" s="360"/>
      <c r="N299" s="405"/>
      <c r="O299" s="352"/>
    </row>
    <row r="300" spans="1:15">
      <c r="A300" s="339" t="s">
        <v>1476</v>
      </c>
      <c r="B300" s="339" t="s">
        <v>160</v>
      </c>
      <c r="C300" s="340" t="s">
        <v>1477</v>
      </c>
      <c r="D300" s="341" t="s">
        <v>1478</v>
      </c>
      <c r="E300" s="342" t="s">
        <v>167</v>
      </c>
      <c r="F300" s="343"/>
      <c r="G300" s="344"/>
      <c r="H300" s="345"/>
      <c r="I300" s="345"/>
      <c r="J300" s="345"/>
      <c r="K300" s="345"/>
      <c r="L300" s="345"/>
      <c r="M300" s="346">
        <f>SUM(M301:M302)</f>
        <v>1</v>
      </c>
      <c r="N300" s="408"/>
      <c r="O300" s="409"/>
    </row>
    <row r="301" spans="1:15">
      <c r="A301" s="347"/>
      <c r="B301" s="347"/>
      <c r="C301" s="348"/>
      <c r="D301" s="421" t="s">
        <v>1405</v>
      </c>
      <c r="E301" s="422"/>
      <c r="F301" s="423">
        <v>1</v>
      </c>
      <c r="G301" s="352"/>
      <c r="H301" s="353"/>
      <c r="I301" s="353"/>
      <c r="J301" s="353"/>
      <c r="K301" s="353"/>
      <c r="L301" s="353"/>
      <c r="M301" s="353">
        <f>F301</f>
        <v>1</v>
      </c>
      <c r="N301" s="405"/>
      <c r="O301" s="352"/>
    </row>
    <row r="302" spans="1:15">
      <c r="A302" s="354"/>
      <c r="B302" s="354"/>
      <c r="C302" s="355"/>
      <c r="D302" s="356"/>
      <c r="E302" s="362"/>
      <c r="F302" s="358"/>
      <c r="G302" s="359"/>
      <c r="H302" s="360"/>
      <c r="I302" s="360"/>
      <c r="J302" s="360"/>
      <c r="K302" s="360"/>
      <c r="L302" s="360"/>
      <c r="M302" s="360"/>
      <c r="N302" s="405"/>
      <c r="O302" s="352"/>
    </row>
    <row r="303" spans="1:15">
      <c r="A303" s="339" t="s">
        <v>1479</v>
      </c>
      <c r="B303" s="339" t="s">
        <v>160</v>
      </c>
      <c r="C303" s="340" t="s">
        <v>1480</v>
      </c>
      <c r="D303" s="341" t="s">
        <v>1481</v>
      </c>
      <c r="E303" s="342" t="s">
        <v>167</v>
      </c>
      <c r="F303" s="343"/>
      <c r="G303" s="344"/>
      <c r="H303" s="345"/>
      <c r="I303" s="345"/>
      <c r="J303" s="345"/>
      <c r="K303" s="345"/>
      <c r="L303" s="345"/>
      <c r="M303" s="346">
        <f>SUM(M304:M305)</f>
        <v>12</v>
      </c>
      <c r="N303" s="408"/>
      <c r="O303" s="409"/>
    </row>
    <row r="304" spans="1:15">
      <c r="A304" s="347"/>
      <c r="B304" s="347"/>
      <c r="C304" s="348"/>
      <c r="D304" s="421" t="s">
        <v>1405</v>
      </c>
      <c r="E304" s="422"/>
      <c r="F304" s="423">
        <v>12</v>
      </c>
      <c r="G304" s="352"/>
      <c r="H304" s="353"/>
      <c r="I304" s="353"/>
      <c r="J304" s="353"/>
      <c r="K304" s="353"/>
      <c r="L304" s="353"/>
      <c r="M304" s="353">
        <f>F304</f>
        <v>12</v>
      </c>
      <c r="N304" s="405"/>
      <c r="O304" s="352"/>
    </row>
    <row r="305" spans="1:15">
      <c r="A305" s="354"/>
      <c r="B305" s="354"/>
      <c r="C305" s="355"/>
      <c r="D305" s="356"/>
      <c r="E305" s="362"/>
      <c r="F305" s="358"/>
      <c r="G305" s="359"/>
      <c r="H305" s="360"/>
      <c r="I305" s="360"/>
      <c r="J305" s="360"/>
      <c r="K305" s="360"/>
      <c r="L305" s="360"/>
      <c r="M305" s="360"/>
      <c r="N305" s="405"/>
      <c r="O305" s="352"/>
    </row>
    <row r="306" spans="1:15">
      <c r="A306" s="339" t="s">
        <v>1482</v>
      </c>
      <c r="B306" s="339" t="s">
        <v>160</v>
      </c>
      <c r="C306" s="340" t="s">
        <v>357</v>
      </c>
      <c r="D306" s="341" t="s">
        <v>1483</v>
      </c>
      <c r="E306" s="342" t="s">
        <v>167</v>
      </c>
      <c r="F306" s="343"/>
      <c r="G306" s="344"/>
      <c r="H306" s="345"/>
      <c r="I306" s="345"/>
      <c r="J306" s="345"/>
      <c r="K306" s="345"/>
      <c r="L306" s="345"/>
      <c r="M306" s="346">
        <f>SUM(M307:M308)</f>
        <v>1</v>
      </c>
      <c r="N306" s="408"/>
      <c r="O306" s="409"/>
    </row>
    <row r="307" spans="1:15">
      <c r="A307" s="347"/>
      <c r="B307" s="347"/>
      <c r="C307" s="348"/>
      <c r="D307" s="421" t="s">
        <v>1405</v>
      </c>
      <c r="E307" s="422"/>
      <c r="F307" s="423">
        <v>1</v>
      </c>
      <c r="G307" s="352"/>
      <c r="H307" s="353"/>
      <c r="I307" s="353"/>
      <c r="J307" s="353"/>
      <c r="K307" s="353"/>
      <c r="L307" s="353"/>
      <c r="M307" s="353">
        <f>F307</f>
        <v>1</v>
      </c>
      <c r="N307" s="405"/>
      <c r="O307" s="352"/>
    </row>
    <row r="308" spans="1:15">
      <c r="A308" s="354"/>
      <c r="B308" s="354"/>
      <c r="C308" s="355"/>
      <c r="D308" s="356"/>
      <c r="E308" s="362"/>
      <c r="F308" s="358"/>
      <c r="G308" s="359"/>
      <c r="H308" s="360"/>
      <c r="I308" s="360"/>
      <c r="J308" s="360"/>
      <c r="K308" s="360"/>
      <c r="L308" s="360"/>
      <c r="M308" s="360"/>
      <c r="N308" s="405"/>
      <c r="O308" s="352"/>
    </row>
    <row r="309" spans="1:15">
      <c r="A309" s="339" t="s">
        <v>1484</v>
      </c>
      <c r="B309" s="339" t="s">
        <v>160</v>
      </c>
      <c r="C309" s="340" t="s">
        <v>1485</v>
      </c>
      <c r="D309" s="341" t="s">
        <v>1486</v>
      </c>
      <c r="E309" s="342" t="s">
        <v>167</v>
      </c>
      <c r="F309" s="343"/>
      <c r="G309" s="344"/>
      <c r="H309" s="345"/>
      <c r="I309" s="345"/>
      <c r="J309" s="345"/>
      <c r="K309" s="345"/>
      <c r="L309" s="345"/>
      <c r="M309" s="346">
        <f>SUM(M310:M311)</f>
        <v>1</v>
      </c>
      <c r="N309" s="408"/>
      <c r="O309" s="409"/>
    </row>
    <row r="310" spans="1:15">
      <c r="A310" s="347"/>
      <c r="B310" s="347"/>
      <c r="C310" s="348"/>
      <c r="D310" s="421" t="s">
        <v>1405</v>
      </c>
      <c r="E310" s="422"/>
      <c r="F310" s="423">
        <v>1</v>
      </c>
      <c r="G310" s="352"/>
      <c r="H310" s="353"/>
      <c r="I310" s="353"/>
      <c r="J310" s="353"/>
      <c r="K310" s="353"/>
      <c r="L310" s="353"/>
      <c r="M310" s="353">
        <f>F310</f>
        <v>1</v>
      </c>
      <c r="N310" s="405"/>
      <c r="O310" s="352"/>
    </row>
    <row r="311" spans="1:15">
      <c r="A311" s="354"/>
      <c r="B311" s="354"/>
      <c r="C311" s="355"/>
      <c r="D311" s="356"/>
      <c r="E311" s="362"/>
      <c r="F311" s="358"/>
      <c r="G311" s="359"/>
      <c r="H311" s="360"/>
      <c r="I311" s="360"/>
      <c r="J311" s="360"/>
      <c r="K311" s="360"/>
      <c r="L311" s="360"/>
      <c r="M311" s="360"/>
      <c r="N311" s="405"/>
      <c r="O311" s="352"/>
    </row>
    <row r="312" spans="1:15">
      <c r="A312" s="339" t="s">
        <v>1487</v>
      </c>
      <c r="B312" s="339" t="s">
        <v>160</v>
      </c>
      <c r="C312" s="340" t="s">
        <v>1488</v>
      </c>
      <c r="D312" s="341" t="s">
        <v>1489</v>
      </c>
      <c r="E312" s="342" t="s">
        <v>167</v>
      </c>
      <c r="F312" s="343"/>
      <c r="G312" s="344"/>
      <c r="H312" s="345"/>
      <c r="I312" s="345"/>
      <c r="J312" s="345"/>
      <c r="K312" s="345"/>
      <c r="L312" s="345"/>
      <c r="M312" s="346">
        <f>SUM(M313:M314)</f>
        <v>1</v>
      </c>
      <c r="N312" s="408"/>
      <c r="O312" s="409"/>
    </row>
    <row r="313" spans="1:15">
      <c r="A313" s="347"/>
      <c r="B313" s="347"/>
      <c r="C313" s="348"/>
      <c r="D313" s="421" t="s">
        <v>1405</v>
      </c>
      <c r="E313" s="422"/>
      <c r="F313" s="423">
        <v>1</v>
      </c>
      <c r="G313" s="352"/>
      <c r="H313" s="353"/>
      <c r="I313" s="353"/>
      <c r="J313" s="353"/>
      <c r="K313" s="353"/>
      <c r="L313" s="353"/>
      <c r="M313" s="353">
        <f>F313</f>
        <v>1</v>
      </c>
      <c r="N313" s="405"/>
      <c r="O313" s="352"/>
    </row>
    <row r="314" spans="1:15">
      <c r="A314" s="354"/>
      <c r="B314" s="354"/>
      <c r="C314" s="355"/>
      <c r="D314" s="356"/>
      <c r="E314" s="362"/>
      <c r="F314" s="358"/>
      <c r="G314" s="359"/>
      <c r="H314" s="360"/>
      <c r="I314" s="360"/>
      <c r="J314" s="360"/>
      <c r="K314" s="360"/>
      <c r="L314" s="360"/>
      <c r="M314" s="360"/>
      <c r="N314" s="405"/>
      <c r="O314" s="352"/>
    </row>
    <row r="315" spans="1:15">
      <c r="A315" s="339" t="s">
        <v>1490</v>
      </c>
      <c r="B315" s="339" t="s">
        <v>160</v>
      </c>
      <c r="C315" s="340" t="s">
        <v>1491</v>
      </c>
      <c r="D315" s="341" t="s">
        <v>1492</v>
      </c>
      <c r="E315" s="342" t="s">
        <v>167</v>
      </c>
      <c r="F315" s="343"/>
      <c r="G315" s="344"/>
      <c r="H315" s="345"/>
      <c r="I315" s="345"/>
      <c r="J315" s="345"/>
      <c r="K315" s="345"/>
      <c r="L315" s="345"/>
      <c r="M315" s="346">
        <f>SUM(M316:M317)</f>
        <v>1</v>
      </c>
      <c r="N315" s="408"/>
      <c r="O315" s="409"/>
    </row>
    <row r="316" spans="1:15">
      <c r="A316" s="347"/>
      <c r="B316" s="347"/>
      <c r="C316" s="348"/>
      <c r="D316" s="421" t="s">
        <v>1405</v>
      </c>
      <c r="E316" s="422"/>
      <c r="F316" s="423">
        <v>1</v>
      </c>
      <c r="G316" s="352"/>
      <c r="H316" s="353"/>
      <c r="I316" s="353"/>
      <c r="J316" s="353"/>
      <c r="K316" s="353"/>
      <c r="L316" s="353"/>
      <c r="M316" s="353">
        <f>F316</f>
        <v>1</v>
      </c>
      <c r="N316" s="405"/>
      <c r="O316" s="352"/>
    </row>
    <row r="317" spans="1:15">
      <c r="A317" s="354"/>
      <c r="B317" s="354"/>
      <c r="C317" s="355"/>
      <c r="D317" s="356"/>
      <c r="E317" s="362"/>
      <c r="F317" s="358"/>
      <c r="G317" s="359"/>
      <c r="H317" s="360"/>
      <c r="I317" s="360"/>
      <c r="J317" s="360"/>
      <c r="K317" s="360"/>
      <c r="L317" s="360"/>
      <c r="M317" s="360"/>
      <c r="N317" s="405"/>
      <c r="O317" s="352"/>
    </row>
    <row r="318" spans="1:15">
      <c r="A318" s="339" t="s">
        <v>1493</v>
      </c>
      <c r="B318" s="339" t="s">
        <v>160</v>
      </c>
      <c r="C318" s="340" t="s">
        <v>1494</v>
      </c>
      <c r="D318" s="341" t="s">
        <v>1495</v>
      </c>
      <c r="E318" s="342" t="s">
        <v>167</v>
      </c>
      <c r="F318" s="343"/>
      <c r="G318" s="344"/>
      <c r="H318" s="345"/>
      <c r="I318" s="345"/>
      <c r="J318" s="345"/>
      <c r="K318" s="345"/>
      <c r="L318" s="345"/>
      <c r="M318" s="346">
        <f>SUM(M319:M320)</f>
        <v>1</v>
      </c>
      <c r="N318" s="408"/>
      <c r="O318" s="409"/>
    </row>
    <row r="319" spans="1:15">
      <c r="A319" s="347"/>
      <c r="B319" s="347"/>
      <c r="C319" s="348"/>
      <c r="D319" s="421" t="s">
        <v>1405</v>
      </c>
      <c r="E319" s="422"/>
      <c r="F319" s="423">
        <v>1</v>
      </c>
      <c r="G319" s="352"/>
      <c r="H319" s="353"/>
      <c r="I319" s="353"/>
      <c r="J319" s="353"/>
      <c r="K319" s="353"/>
      <c r="L319" s="353"/>
      <c r="M319" s="353">
        <f>F319</f>
        <v>1</v>
      </c>
      <c r="N319" s="405"/>
      <c r="O319" s="352"/>
    </row>
    <row r="320" spans="1:15">
      <c r="A320" s="354"/>
      <c r="B320" s="354"/>
      <c r="C320" s="355"/>
      <c r="D320" s="356"/>
      <c r="E320" s="362"/>
      <c r="F320" s="358"/>
      <c r="G320" s="359"/>
      <c r="H320" s="360"/>
      <c r="I320" s="360"/>
      <c r="J320" s="360"/>
      <c r="K320" s="360"/>
      <c r="L320" s="360"/>
      <c r="M320" s="360"/>
      <c r="N320" s="405"/>
      <c r="O320" s="352"/>
    </row>
    <row r="321" spans="1:15">
      <c r="A321" s="311" t="s">
        <v>88</v>
      </c>
      <c r="B321" s="312"/>
      <c r="C321" s="313"/>
      <c r="D321" s="314" t="s">
        <v>70</v>
      </c>
      <c r="E321" s="327"/>
      <c r="F321" s="328"/>
      <c r="G321" s="329"/>
      <c r="H321" s="329"/>
      <c r="I321" s="329"/>
      <c r="J321" s="329"/>
      <c r="K321" s="329"/>
      <c r="L321" s="329"/>
      <c r="M321" s="330"/>
      <c r="N321" s="407"/>
      <c r="O321" s="330"/>
    </row>
    <row r="322" spans="1:15" ht="47.25">
      <c r="A322" s="339" t="s">
        <v>90</v>
      </c>
      <c r="B322" s="339" t="s">
        <v>3</v>
      </c>
      <c r="C322" s="340" t="s">
        <v>1435</v>
      </c>
      <c r="D322" s="341" t="s">
        <v>1436</v>
      </c>
      <c r="E322" s="342" t="s">
        <v>180</v>
      </c>
      <c r="F322" s="343"/>
      <c r="G322" s="344"/>
      <c r="H322" s="345"/>
      <c r="I322" s="345"/>
      <c r="J322" s="345"/>
      <c r="K322" s="345"/>
      <c r="L322" s="345"/>
      <c r="M322" s="346">
        <f>SUM(M323:M324)</f>
        <v>16.5</v>
      </c>
      <c r="N322" s="408"/>
      <c r="O322" s="409"/>
    </row>
    <row r="323" spans="1:15">
      <c r="A323" s="347"/>
      <c r="B323" s="347"/>
      <c r="C323" s="348"/>
      <c r="D323" s="421" t="s">
        <v>1496</v>
      </c>
      <c r="E323" s="422"/>
      <c r="F323" s="423">
        <f>15*1.1</f>
        <v>16.5</v>
      </c>
      <c r="G323" s="352"/>
      <c r="H323" s="353"/>
      <c r="I323" s="353"/>
      <c r="J323" s="353"/>
      <c r="K323" s="353"/>
      <c r="L323" s="353"/>
      <c r="M323" s="353">
        <f>F323</f>
        <v>16.5</v>
      </c>
      <c r="N323" s="405"/>
      <c r="O323" s="352"/>
    </row>
    <row r="324" spans="1:15">
      <c r="A324" s="354"/>
      <c r="B324" s="354"/>
      <c r="C324" s="355"/>
      <c r="D324" s="356"/>
      <c r="E324" s="362"/>
      <c r="F324" s="358"/>
      <c r="G324" s="359"/>
      <c r="H324" s="360"/>
      <c r="I324" s="360"/>
      <c r="J324" s="360"/>
      <c r="K324" s="360"/>
      <c r="L324" s="360"/>
      <c r="M324" s="360"/>
      <c r="N324" s="405"/>
      <c r="O324" s="352"/>
    </row>
    <row r="325" spans="1:15" ht="47.25">
      <c r="A325" s="339" t="s">
        <v>91</v>
      </c>
      <c r="B325" s="339" t="s">
        <v>3</v>
      </c>
      <c r="C325" s="340" t="s">
        <v>1497</v>
      </c>
      <c r="D325" s="341" t="s">
        <v>1498</v>
      </c>
      <c r="E325" s="342" t="s">
        <v>180</v>
      </c>
      <c r="F325" s="343"/>
      <c r="G325" s="344"/>
      <c r="H325" s="345"/>
      <c r="I325" s="345"/>
      <c r="J325" s="345"/>
      <c r="K325" s="345"/>
      <c r="L325" s="345"/>
      <c r="M325" s="346">
        <f>SUM(M326:M327)</f>
        <v>4</v>
      </c>
      <c r="N325" s="408"/>
      <c r="O325" s="409"/>
    </row>
    <row r="326" spans="1:15">
      <c r="A326" s="347"/>
      <c r="B326" s="347"/>
      <c r="C326" s="348"/>
      <c r="D326" s="421" t="s">
        <v>1496</v>
      </c>
      <c r="E326" s="422"/>
      <c r="F326" s="423">
        <v>4</v>
      </c>
      <c r="G326" s="352"/>
      <c r="H326" s="353"/>
      <c r="I326" s="353"/>
      <c r="J326" s="353"/>
      <c r="K326" s="353"/>
      <c r="L326" s="353"/>
      <c r="M326" s="353">
        <f>F326</f>
        <v>4</v>
      </c>
      <c r="N326" s="405"/>
      <c r="O326" s="352"/>
    </row>
    <row r="327" spans="1:15">
      <c r="A327" s="354"/>
      <c r="B327" s="354"/>
      <c r="C327" s="355"/>
      <c r="D327" s="356"/>
      <c r="E327" s="362"/>
      <c r="F327" s="358"/>
      <c r="G327" s="359"/>
      <c r="H327" s="360"/>
      <c r="I327" s="360"/>
      <c r="J327" s="360"/>
      <c r="K327" s="360"/>
      <c r="L327" s="360"/>
      <c r="M327" s="360"/>
      <c r="N327" s="405"/>
      <c r="O327" s="352"/>
    </row>
    <row r="328" spans="1:15" ht="31.5">
      <c r="A328" s="339" t="s">
        <v>1349</v>
      </c>
      <c r="B328" s="339" t="s">
        <v>3</v>
      </c>
      <c r="C328" s="340" t="s">
        <v>368</v>
      </c>
      <c r="D328" s="341" t="s">
        <v>369</v>
      </c>
      <c r="E328" s="342" t="s">
        <v>180</v>
      </c>
      <c r="F328" s="343"/>
      <c r="G328" s="344"/>
      <c r="H328" s="345"/>
      <c r="I328" s="345"/>
      <c r="J328" s="345"/>
      <c r="K328" s="345"/>
      <c r="L328" s="345"/>
      <c r="M328" s="346">
        <f>SUM(M329:M331)</f>
        <v>170.5</v>
      </c>
      <c r="N328" s="408"/>
      <c r="O328" s="409"/>
    </row>
    <row r="329" spans="1:15">
      <c r="A329" s="347"/>
      <c r="B329" s="347"/>
      <c r="C329" s="348"/>
      <c r="D329" s="421" t="s">
        <v>1499</v>
      </c>
      <c r="E329" s="422"/>
      <c r="F329" s="423">
        <f>95*1.1</f>
        <v>104.50000000000001</v>
      </c>
      <c r="G329" s="352"/>
      <c r="H329" s="353"/>
      <c r="I329" s="353"/>
      <c r="J329" s="353"/>
      <c r="K329" s="353"/>
      <c r="L329" s="353"/>
      <c r="M329" s="353">
        <f>F329</f>
        <v>104.50000000000001</v>
      </c>
      <c r="N329" s="405"/>
      <c r="O329" s="352"/>
    </row>
    <row r="330" spans="1:15">
      <c r="A330" s="347"/>
      <c r="B330" s="347"/>
      <c r="C330" s="348"/>
      <c r="D330" s="421" t="s">
        <v>1496</v>
      </c>
      <c r="E330" s="422"/>
      <c r="F330" s="423">
        <f>60*1.1</f>
        <v>66</v>
      </c>
      <c r="G330" s="352"/>
      <c r="H330" s="353"/>
      <c r="I330" s="353"/>
      <c r="J330" s="353"/>
      <c r="K330" s="353"/>
      <c r="L330" s="353"/>
      <c r="M330" s="353">
        <f>F330</f>
        <v>66</v>
      </c>
      <c r="N330" s="405"/>
      <c r="O330" s="352"/>
    </row>
    <row r="331" spans="1:15">
      <c r="A331" s="354"/>
      <c r="B331" s="354"/>
      <c r="C331" s="355"/>
      <c r="D331" s="356"/>
      <c r="E331" s="362"/>
      <c r="F331" s="358"/>
      <c r="G331" s="359"/>
      <c r="H331" s="360"/>
      <c r="I331" s="360"/>
      <c r="J331" s="360"/>
      <c r="K331" s="360"/>
      <c r="L331" s="360"/>
      <c r="M331" s="360"/>
      <c r="N331" s="405"/>
      <c r="O331" s="352"/>
    </row>
    <row r="332" spans="1:15" ht="31.5">
      <c r="A332" s="339" t="s">
        <v>1350</v>
      </c>
      <c r="B332" s="339" t="s">
        <v>3</v>
      </c>
      <c r="C332" s="340" t="s">
        <v>362</v>
      </c>
      <c r="D332" s="341" t="s">
        <v>910</v>
      </c>
      <c r="E332" s="342" t="s">
        <v>180</v>
      </c>
      <c r="F332" s="343"/>
      <c r="G332" s="344"/>
      <c r="H332" s="345"/>
      <c r="I332" s="345"/>
      <c r="J332" s="345"/>
      <c r="K332" s="345"/>
      <c r="L332" s="345"/>
      <c r="M332" s="346">
        <f>SUM(M333:M335)</f>
        <v>19.8</v>
      </c>
      <c r="N332" s="408"/>
      <c r="O332" s="409"/>
    </row>
    <row r="333" spans="1:15">
      <c r="A333" s="347"/>
      <c r="B333" s="347"/>
      <c r="C333" s="348"/>
      <c r="D333" s="421" t="s">
        <v>1499</v>
      </c>
      <c r="E333" s="422"/>
      <c r="F333" s="423">
        <f>15*1.1</f>
        <v>16.5</v>
      </c>
      <c r="G333" s="352"/>
      <c r="H333" s="353"/>
      <c r="I333" s="353"/>
      <c r="J333" s="353"/>
      <c r="K333" s="353"/>
      <c r="L333" s="353"/>
      <c r="M333" s="353">
        <f>F333</f>
        <v>16.5</v>
      </c>
      <c r="N333" s="405"/>
      <c r="O333" s="352"/>
    </row>
    <row r="334" spans="1:15">
      <c r="A334" s="347"/>
      <c r="B334" s="347"/>
      <c r="C334" s="348"/>
      <c r="D334" s="421" t="s">
        <v>1496</v>
      </c>
      <c r="E334" s="422"/>
      <c r="F334" s="423">
        <f>3*1.1</f>
        <v>3.3000000000000003</v>
      </c>
      <c r="G334" s="352"/>
      <c r="H334" s="353"/>
      <c r="I334" s="353"/>
      <c r="J334" s="353"/>
      <c r="K334" s="353"/>
      <c r="L334" s="353"/>
      <c r="M334" s="353">
        <f>F334</f>
        <v>3.3000000000000003</v>
      </c>
      <c r="N334" s="405"/>
      <c r="O334" s="352"/>
    </row>
    <row r="335" spans="1:15">
      <c r="A335" s="354"/>
      <c r="B335" s="354"/>
      <c r="C335" s="355"/>
      <c r="D335" s="356"/>
      <c r="E335" s="362"/>
      <c r="F335" s="358"/>
      <c r="G335" s="359"/>
      <c r="H335" s="360"/>
      <c r="I335" s="360"/>
      <c r="J335" s="360"/>
      <c r="K335" s="360"/>
      <c r="L335" s="360"/>
      <c r="M335" s="360"/>
      <c r="N335" s="405"/>
      <c r="O335" s="352"/>
    </row>
    <row r="336" spans="1:15" ht="31.5">
      <c r="A336" s="339" t="s">
        <v>1351</v>
      </c>
      <c r="B336" s="339" t="s">
        <v>3</v>
      </c>
      <c r="C336" s="340" t="s">
        <v>1449</v>
      </c>
      <c r="D336" s="341" t="s">
        <v>1500</v>
      </c>
      <c r="E336" s="342" t="s">
        <v>180</v>
      </c>
      <c r="F336" s="343"/>
      <c r="G336" s="344"/>
      <c r="H336" s="345"/>
      <c r="I336" s="345"/>
      <c r="J336" s="345"/>
      <c r="K336" s="345"/>
      <c r="L336" s="345"/>
      <c r="M336" s="346">
        <f>SUM(M337:M338)</f>
        <v>5</v>
      </c>
      <c r="N336" s="408"/>
      <c r="O336" s="409"/>
    </row>
    <row r="337" spans="1:15">
      <c r="A337" s="347"/>
      <c r="B337" s="347"/>
      <c r="C337" s="348"/>
      <c r="D337" s="421" t="s">
        <v>1496</v>
      </c>
      <c r="E337" s="422"/>
      <c r="F337" s="423">
        <f>5</f>
        <v>5</v>
      </c>
      <c r="G337" s="352"/>
      <c r="H337" s="353"/>
      <c r="I337" s="353"/>
      <c r="J337" s="353"/>
      <c r="K337" s="353"/>
      <c r="L337" s="353"/>
      <c r="M337" s="353">
        <f>F337</f>
        <v>5</v>
      </c>
      <c r="N337" s="405"/>
      <c r="O337" s="352"/>
    </row>
    <row r="338" spans="1:15">
      <c r="A338" s="354"/>
      <c r="B338" s="354"/>
      <c r="C338" s="355"/>
      <c r="D338" s="356"/>
      <c r="E338" s="362"/>
      <c r="F338" s="358"/>
      <c r="G338" s="359"/>
      <c r="H338" s="360"/>
      <c r="I338" s="360"/>
      <c r="J338" s="360"/>
      <c r="K338" s="360"/>
      <c r="L338" s="360"/>
      <c r="M338" s="360"/>
      <c r="N338" s="405"/>
      <c r="O338" s="352"/>
    </row>
    <row r="339" spans="1:15" ht="31.5">
      <c r="A339" s="339" t="s">
        <v>1353</v>
      </c>
      <c r="B339" s="339" t="s">
        <v>2</v>
      </c>
      <c r="C339" s="340">
        <v>91856</v>
      </c>
      <c r="D339" s="341" t="s">
        <v>194</v>
      </c>
      <c r="E339" s="342" t="s">
        <v>180</v>
      </c>
      <c r="F339" s="343"/>
      <c r="G339" s="344"/>
      <c r="H339" s="345"/>
      <c r="I339" s="345"/>
      <c r="J339" s="345"/>
      <c r="K339" s="345"/>
      <c r="L339" s="345"/>
      <c r="M339" s="346">
        <f>SUM(M340:M342)</f>
        <v>83.6</v>
      </c>
      <c r="N339" s="408"/>
      <c r="O339" s="409"/>
    </row>
    <row r="340" spans="1:15">
      <c r="A340" s="347"/>
      <c r="B340" s="347"/>
      <c r="C340" s="348"/>
      <c r="D340" s="421" t="s">
        <v>1499</v>
      </c>
      <c r="E340" s="422"/>
      <c r="F340" s="423">
        <f>40*1.1</f>
        <v>44</v>
      </c>
      <c r="G340" s="352"/>
      <c r="H340" s="353"/>
      <c r="I340" s="353"/>
      <c r="J340" s="353"/>
      <c r="K340" s="353"/>
      <c r="L340" s="353"/>
      <c r="M340" s="353">
        <f>F340</f>
        <v>44</v>
      </c>
      <c r="N340" s="405"/>
      <c r="O340" s="352"/>
    </row>
    <row r="341" spans="1:15">
      <c r="A341" s="347"/>
      <c r="B341" s="347"/>
      <c r="C341" s="348"/>
      <c r="D341" s="421" t="s">
        <v>1496</v>
      </c>
      <c r="E341" s="422"/>
      <c r="F341" s="423">
        <f>36*1.1</f>
        <v>39.6</v>
      </c>
      <c r="G341" s="352"/>
      <c r="H341" s="353"/>
      <c r="I341" s="353"/>
      <c r="J341" s="353"/>
      <c r="K341" s="353"/>
      <c r="L341" s="353"/>
      <c r="M341" s="353">
        <f>F341</f>
        <v>39.6</v>
      </c>
      <c r="N341" s="405"/>
      <c r="O341" s="352"/>
    </row>
    <row r="342" spans="1:15">
      <c r="A342" s="354"/>
      <c r="B342" s="354"/>
      <c r="C342" s="355"/>
      <c r="D342" s="356"/>
      <c r="E342" s="362"/>
      <c r="F342" s="358"/>
      <c r="G342" s="359"/>
      <c r="H342" s="360"/>
      <c r="I342" s="360"/>
      <c r="J342" s="360"/>
      <c r="K342" s="360"/>
      <c r="L342" s="360"/>
      <c r="M342" s="360"/>
      <c r="N342" s="405"/>
      <c r="O342" s="352"/>
    </row>
    <row r="343" spans="1:15" ht="31.5">
      <c r="A343" s="339" t="s">
        <v>1355</v>
      </c>
      <c r="B343" s="339" t="s">
        <v>3</v>
      </c>
      <c r="C343" s="340" t="s">
        <v>1379</v>
      </c>
      <c r="D343" s="341" t="s">
        <v>1380</v>
      </c>
      <c r="E343" s="342" t="s">
        <v>180</v>
      </c>
      <c r="F343" s="343"/>
      <c r="G343" s="344"/>
      <c r="H343" s="345"/>
      <c r="I343" s="345"/>
      <c r="J343" s="345"/>
      <c r="K343" s="345"/>
      <c r="L343" s="345"/>
      <c r="M343" s="346">
        <f>SUM(M344:M345)</f>
        <v>11</v>
      </c>
      <c r="N343" s="408"/>
      <c r="O343" s="409"/>
    </row>
    <row r="344" spans="1:15">
      <c r="A344" s="347"/>
      <c r="B344" s="347"/>
      <c r="C344" s="348"/>
      <c r="D344" s="421" t="s">
        <v>1499</v>
      </c>
      <c r="E344" s="422"/>
      <c r="F344" s="423">
        <f>10*1.1</f>
        <v>11</v>
      </c>
      <c r="G344" s="352"/>
      <c r="H344" s="353"/>
      <c r="I344" s="353"/>
      <c r="J344" s="353"/>
      <c r="K344" s="353"/>
      <c r="L344" s="353"/>
      <c r="M344" s="353">
        <f>F344</f>
        <v>11</v>
      </c>
      <c r="N344" s="405"/>
      <c r="O344" s="352"/>
    </row>
    <row r="345" spans="1:15">
      <c r="A345" s="354"/>
      <c r="B345" s="354"/>
      <c r="C345" s="355"/>
      <c r="D345" s="356"/>
      <c r="E345" s="362"/>
      <c r="F345" s="358"/>
      <c r="G345" s="359"/>
      <c r="H345" s="360"/>
      <c r="I345" s="360"/>
      <c r="J345" s="360"/>
      <c r="K345" s="360"/>
      <c r="L345" s="360"/>
      <c r="M345" s="360"/>
      <c r="N345" s="405"/>
      <c r="O345" s="352"/>
    </row>
    <row r="346" spans="1:15" ht="31.5">
      <c r="A346" s="339" t="s">
        <v>1358</v>
      </c>
      <c r="B346" s="339" t="s">
        <v>2</v>
      </c>
      <c r="C346" s="340">
        <v>91941</v>
      </c>
      <c r="D346" s="341" t="s">
        <v>1412</v>
      </c>
      <c r="E346" s="342" t="s">
        <v>167</v>
      </c>
      <c r="F346" s="343"/>
      <c r="G346" s="344"/>
      <c r="H346" s="345"/>
      <c r="I346" s="345"/>
      <c r="J346" s="345"/>
      <c r="K346" s="345"/>
      <c r="L346" s="345"/>
      <c r="M346" s="346">
        <f>SUM(M347:M349)</f>
        <v>34</v>
      </c>
      <c r="N346" s="408"/>
      <c r="O346" s="409"/>
    </row>
    <row r="347" spans="1:15">
      <c r="A347" s="347"/>
      <c r="B347" s="347"/>
      <c r="C347" s="348"/>
      <c r="D347" s="421" t="s">
        <v>1499</v>
      </c>
      <c r="E347" s="422"/>
      <c r="F347" s="423">
        <v>19</v>
      </c>
      <c r="G347" s="352"/>
      <c r="H347" s="353"/>
      <c r="I347" s="353"/>
      <c r="J347" s="353"/>
      <c r="K347" s="353"/>
      <c r="L347" s="353"/>
      <c r="M347" s="353">
        <f>F347</f>
        <v>19</v>
      </c>
      <c r="N347" s="405"/>
      <c r="O347" s="352"/>
    </row>
    <row r="348" spans="1:15">
      <c r="A348" s="347"/>
      <c r="B348" s="347"/>
      <c r="C348" s="348"/>
      <c r="D348" s="421" t="s">
        <v>1496</v>
      </c>
      <c r="E348" s="422"/>
      <c r="F348" s="423">
        <v>15</v>
      </c>
      <c r="G348" s="352"/>
      <c r="H348" s="353"/>
      <c r="I348" s="353"/>
      <c r="J348" s="353"/>
      <c r="K348" s="353"/>
      <c r="L348" s="353"/>
      <c r="M348" s="353">
        <f>F348</f>
        <v>15</v>
      </c>
      <c r="N348" s="405"/>
      <c r="O348" s="352"/>
    </row>
    <row r="349" spans="1:15">
      <c r="A349" s="354"/>
      <c r="B349" s="354"/>
      <c r="C349" s="355"/>
      <c r="D349" s="356"/>
      <c r="E349" s="362"/>
      <c r="F349" s="358"/>
      <c r="G349" s="359"/>
      <c r="H349" s="360"/>
      <c r="I349" s="360"/>
      <c r="J349" s="360"/>
      <c r="K349" s="360"/>
      <c r="L349" s="360"/>
      <c r="M349" s="360"/>
      <c r="N349" s="405"/>
      <c r="O349" s="352"/>
    </row>
    <row r="350" spans="1:15" ht="31.5">
      <c r="A350" s="339" t="s">
        <v>1361</v>
      </c>
      <c r="B350" s="339" t="s">
        <v>3</v>
      </c>
      <c r="C350" s="340" t="s">
        <v>880</v>
      </c>
      <c r="D350" s="341" t="s">
        <v>881</v>
      </c>
      <c r="E350" s="342" t="s">
        <v>167</v>
      </c>
      <c r="F350" s="343"/>
      <c r="G350" s="344"/>
      <c r="H350" s="345"/>
      <c r="I350" s="345"/>
      <c r="J350" s="345"/>
      <c r="K350" s="345"/>
      <c r="L350" s="345"/>
      <c r="M350" s="346">
        <f>SUM(M351:M353)</f>
        <v>32</v>
      </c>
      <c r="N350" s="408"/>
      <c r="O350" s="409"/>
    </row>
    <row r="351" spans="1:15">
      <c r="A351" s="347"/>
      <c r="B351" s="347"/>
      <c r="C351" s="348"/>
      <c r="D351" s="421" t="s">
        <v>1499</v>
      </c>
      <c r="E351" s="422"/>
      <c r="F351" s="423">
        <v>18</v>
      </c>
      <c r="G351" s="352"/>
      <c r="H351" s="353"/>
      <c r="I351" s="353"/>
      <c r="J351" s="353"/>
      <c r="K351" s="353"/>
      <c r="L351" s="353"/>
      <c r="M351" s="353">
        <f>F351</f>
        <v>18</v>
      </c>
      <c r="N351" s="405"/>
      <c r="O351" s="352"/>
    </row>
    <row r="352" spans="1:15">
      <c r="A352" s="347"/>
      <c r="B352" s="347"/>
      <c r="C352" s="348"/>
      <c r="D352" s="421" t="s">
        <v>1496</v>
      </c>
      <c r="E352" s="422"/>
      <c r="F352" s="423">
        <v>14</v>
      </c>
      <c r="G352" s="352"/>
      <c r="H352" s="353"/>
      <c r="I352" s="353"/>
      <c r="J352" s="353"/>
      <c r="K352" s="353"/>
      <c r="L352" s="353"/>
      <c r="M352" s="353">
        <f>F352</f>
        <v>14</v>
      </c>
      <c r="N352" s="405"/>
      <c r="O352" s="352"/>
    </row>
    <row r="353" spans="1:15">
      <c r="A353" s="354"/>
      <c r="B353" s="354"/>
      <c r="C353" s="355"/>
      <c r="D353" s="356"/>
      <c r="E353" s="362"/>
      <c r="F353" s="358"/>
      <c r="G353" s="359"/>
      <c r="H353" s="360"/>
      <c r="I353" s="360"/>
      <c r="J353" s="360"/>
      <c r="K353" s="360"/>
      <c r="L353" s="360"/>
      <c r="M353" s="360"/>
      <c r="N353" s="405"/>
      <c r="O353" s="352"/>
    </row>
    <row r="354" spans="1:15" ht="31.5">
      <c r="A354" s="339" t="s">
        <v>1364</v>
      </c>
      <c r="B354" s="339" t="s">
        <v>2</v>
      </c>
      <c r="C354" s="340">
        <v>91947</v>
      </c>
      <c r="D354" s="341" t="s">
        <v>1414</v>
      </c>
      <c r="E354" s="342" t="s">
        <v>167</v>
      </c>
      <c r="F354" s="343"/>
      <c r="G354" s="344"/>
      <c r="H354" s="345"/>
      <c r="I354" s="345"/>
      <c r="J354" s="345"/>
      <c r="K354" s="345"/>
      <c r="L354" s="345"/>
      <c r="M354" s="346">
        <f>SUM(M355:M357)</f>
        <v>34</v>
      </c>
      <c r="N354" s="408"/>
      <c r="O354" s="409"/>
    </row>
    <row r="355" spans="1:15">
      <c r="A355" s="347"/>
      <c r="B355" s="347"/>
      <c r="C355" s="348"/>
      <c r="D355" s="421" t="s">
        <v>1499</v>
      </c>
      <c r="E355" s="422"/>
      <c r="F355" s="423">
        <v>19</v>
      </c>
      <c r="G355" s="352"/>
      <c r="H355" s="353"/>
      <c r="I355" s="353"/>
      <c r="J355" s="353"/>
      <c r="K355" s="353"/>
      <c r="L355" s="353"/>
      <c r="M355" s="353">
        <f>F355</f>
        <v>19</v>
      </c>
      <c r="N355" s="405"/>
      <c r="O355" s="352"/>
    </row>
    <row r="356" spans="1:15">
      <c r="A356" s="347"/>
      <c r="B356" s="347"/>
      <c r="C356" s="348"/>
      <c r="D356" s="421" t="s">
        <v>1496</v>
      </c>
      <c r="E356" s="422"/>
      <c r="F356" s="423">
        <v>15</v>
      </c>
      <c r="G356" s="352"/>
      <c r="H356" s="353"/>
      <c r="I356" s="353"/>
      <c r="J356" s="353"/>
      <c r="K356" s="353"/>
      <c r="L356" s="353"/>
      <c r="M356" s="353">
        <f>F356</f>
        <v>15</v>
      </c>
      <c r="N356" s="405"/>
      <c r="O356" s="352"/>
    </row>
    <row r="357" spans="1:15">
      <c r="A357" s="354"/>
      <c r="B357" s="354"/>
      <c r="C357" s="355"/>
      <c r="D357" s="356"/>
      <c r="E357" s="362"/>
      <c r="F357" s="358"/>
      <c r="G357" s="359"/>
      <c r="H357" s="360"/>
      <c r="I357" s="360"/>
      <c r="J357" s="360"/>
      <c r="K357" s="360"/>
      <c r="L357" s="360"/>
      <c r="M357" s="360"/>
      <c r="N357" s="405"/>
      <c r="O357" s="352"/>
    </row>
    <row r="358" spans="1:15" ht="31.5">
      <c r="A358" s="339" t="s">
        <v>1367</v>
      </c>
      <c r="B358" s="339" t="s">
        <v>3</v>
      </c>
      <c r="C358" s="340" t="s">
        <v>376</v>
      </c>
      <c r="D358" s="341" t="s">
        <v>377</v>
      </c>
      <c r="E358" s="342" t="s">
        <v>167</v>
      </c>
      <c r="F358" s="343"/>
      <c r="G358" s="344"/>
      <c r="H358" s="345"/>
      <c r="I358" s="345"/>
      <c r="J358" s="345"/>
      <c r="K358" s="345"/>
      <c r="L358" s="345"/>
      <c r="M358" s="346">
        <f>SUM(M359:M361)</f>
        <v>64</v>
      </c>
      <c r="N358" s="408"/>
      <c r="O358" s="409"/>
    </row>
    <row r="359" spans="1:15">
      <c r="A359" s="347"/>
      <c r="B359" s="347"/>
      <c r="C359" s="348"/>
      <c r="D359" s="421" t="s">
        <v>1499</v>
      </c>
      <c r="E359" s="422"/>
      <c r="F359" s="423">
        <v>36</v>
      </c>
      <c r="G359" s="352"/>
      <c r="H359" s="353"/>
      <c r="I359" s="353"/>
      <c r="J359" s="353"/>
      <c r="K359" s="353"/>
      <c r="L359" s="353"/>
      <c r="M359" s="353">
        <f>F359</f>
        <v>36</v>
      </c>
      <c r="N359" s="405"/>
      <c r="O359" s="352"/>
    </row>
    <row r="360" spans="1:15">
      <c r="A360" s="347"/>
      <c r="B360" s="347"/>
      <c r="C360" s="348"/>
      <c r="D360" s="421" t="s">
        <v>1496</v>
      </c>
      <c r="E360" s="422"/>
      <c r="F360" s="423">
        <v>28</v>
      </c>
      <c r="G360" s="352"/>
      <c r="H360" s="353"/>
      <c r="I360" s="353"/>
      <c r="J360" s="353"/>
      <c r="K360" s="353"/>
      <c r="L360" s="353"/>
      <c r="M360" s="353">
        <f>F360</f>
        <v>28</v>
      </c>
      <c r="N360" s="405"/>
      <c r="O360" s="352"/>
    </row>
    <row r="361" spans="1:15">
      <c r="A361" s="354"/>
      <c r="B361" s="354"/>
      <c r="C361" s="355"/>
      <c r="D361" s="356"/>
      <c r="E361" s="362"/>
      <c r="F361" s="358"/>
      <c r="G361" s="359"/>
      <c r="H361" s="360"/>
      <c r="I361" s="360"/>
      <c r="J361" s="360"/>
      <c r="K361" s="360"/>
      <c r="L361" s="360"/>
      <c r="M361" s="360"/>
      <c r="N361" s="405"/>
      <c r="O361" s="352"/>
    </row>
    <row r="362" spans="1:15">
      <c r="A362" s="339" t="s">
        <v>1369</v>
      </c>
      <c r="B362" s="339" t="s">
        <v>3</v>
      </c>
      <c r="C362" s="340" t="s">
        <v>1227</v>
      </c>
      <c r="D362" s="341" t="s">
        <v>379</v>
      </c>
      <c r="E362" s="342" t="s">
        <v>180</v>
      </c>
      <c r="F362" s="343"/>
      <c r="G362" s="344"/>
      <c r="H362" s="345"/>
      <c r="I362" s="345"/>
      <c r="J362" s="345"/>
      <c r="K362" s="345"/>
      <c r="L362" s="345"/>
      <c r="M362" s="346">
        <f>SUM(M363:M365)</f>
        <v>2040</v>
      </c>
      <c r="N362" s="408"/>
      <c r="O362" s="409"/>
    </row>
    <row r="363" spans="1:15">
      <c r="A363" s="347"/>
      <c r="B363" s="347"/>
      <c r="C363" s="348"/>
      <c r="D363" s="421" t="s">
        <v>1499</v>
      </c>
      <c r="E363" s="422"/>
      <c r="F363" s="423">
        <f>1000*1.1</f>
        <v>1100</v>
      </c>
      <c r="G363" s="352"/>
      <c r="H363" s="353"/>
      <c r="I363" s="353"/>
      <c r="J363" s="353"/>
      <c r="K363" s="353"/>
      <c r="L363" s="353"/>
      <c r="M363" s="353">
        <f>F363</f>
        <v>1100</v>
      </c>
      <c r="N363" s="405"/>
      <c r="O363" s="352"/>
    </row>
    <row r="364" spans="1:15">
      <c r="A364" s="347"/>
      <c r="B364" s="347"/>
      <c r="C364" s="348"/>
      <c r="D364" s="421" t="s">
        <v>1496</v>
      </c>
      <c r="E364" s="422"/>
      <c r="F364" s="423">
        <f>940</f>
        <v>940</v>
      </c>
      <c r="G364" s="352"/>
      <c r="H364" s="353"/>
      <c r="I364" s="353"/>
      <c r="J364" s="353"/>
      <c r="K364" s="353"/>
      <c r="L364" s="353"/>
      <c r="M364" s="353">
        <f>F364</f>
        <v>940</v>
      </c>
      <c r="N364" s="405"/>
      <c r="O364" s="352"/>
    </row>
    <row r="365" spans="1:15">
      <c r="A365" s="354"/>
      <c r="B365" s="354"/>
      <c r="C365" s="355"/>
      <c r="D365" s="356"/>
      <c r="E365" s="362"/>
      <c r="F365" s="358"/>
      <c r="G365" s="359"/>
      <c r="H365" s="360"/>
      <c r="I365" s="360"/>
      <c r="J365" s="360"/>
      <c r="K365" s="360"/>
      <c r="L365" s="360"/>
      <c r="M365" s="360"/>
      <c r="N365" s="405"/>
      <c r="O365" s="352"/>
    </row>
    <row r="366" spans="1:15">
      <c r="A366" s="442"/>
      <c r="B366" s="443"/>
      <c r="C366" s="444"/>
      <c r="D366" s="445"/>
      <c r="E366" s="320"/>
      <c r="F366" s="324"/>
      <c r="G366" s="324"/>
      <c r="H366" s="324"/>
      <c r="I366" s="324"/>
      <c r="J366" s="324"/>
      <c r="K366" s="324"/>
      <c r="L366" s="324"/>
      <c r="M366" s="326"/>
      <c r="N366" s="420"/>
      <c r="O366" s="359"/>
    </row>
    <row r="367" spans="1:15">
      <c r="A367" s="301">
        <v>4</v>
      </c>
      <c r="B367" s="302"/>
      <c r="C367" s="303"/>
      <c r="D367" s="304" t="s">
        <v>72</v>
      </c>
      <c r="E367" s="305"/>
      <c r="F367" s="306"/>
      <c r="G367" s="307"/>
      <c r="H367" s="307"/>
      <c r="I367" s="307"/>
      <c r="J367" s="307"/>
      <c r="K367" s="307"/>
      <c r="L367" s="307"/>
      <c r="M367" s="308"/>
      <c r="N367" s="402"/>
      <c r="O367" s="308"/>
    </row>
    <row r="368" spans="1:15">
      <c r="A368" s="311" t="s">
        <v>1390</v>
      </c>
      <c r="B368" s="312"/>
      <c r="C368" s="313"/>
      <c r="D368" s="314" t="s">
        <v>74</v>
      </c>
      <c r="E368" s="327"/>
      <c r="F368" s="328"/>
      <c r="G368" s="329"/>
      <c r="H368" s="329"/>
      <c r="I368" s="329"/>
      <c r="J368" s="329"/>
      <c r="K368" s="329"/>
      <c r="L368" s="329"/>
      <c r="M368" s="330"/>
      <c r="N368" s="407"/>
      <c r="O368" s="330"/>
    </row>
    <row r="369" spans="1:15">
      <c r="A369" s="447" t="s">
        <v>1391</v>
      </c>
      <c r="B369" s="448"/>
      <c r="C369" s="449"/>
      <c r="D369" s="450" t="s">
        <v>391</v>
      </c>
      <c r="E369" s="451"/>
      <c r="F369" s="452"/>
      <c r="G369" s="453"/>
      <c r="H369" s="453"/>
      <c r="I369" s="453"/>
      <c r="J369" s="453"/>
      <c r="K369" s="453"/>
      <c r="L369" s="453"/>
      <c r="M369" s="454"/>
      <c r="N369" s="463"/>
      <c r="O369" s="454"/>
    </row>
    <row r="370" spans="1:15" ht="110.25">
      <c r="A370" s="339" t="s">
        <v>1501</v>
      </c>
      <c r="B370" s="339" t="s">
        <v>160</v>
      </c>
      <c r="C370" s="340" t="s">
        <v>393</v>
      </c>
      <c r="D370" s="341" t="s">
        <v>394</v>
      </c>
      <c r="E370" s="342" t="s">
        <v>167</v>
      </c>
      <c r="F370" s="343"/>
      <c r="G370" s="344"/>
      <c r="H370" s="345"/>
      <c r="I370" s="345"/>
      <c r="J370" s="345"/>
      <c r="K370" s="345"/>
      <c r="L370" s="345"/>
      <c r="M370" s="346">
        <f>SUM(M371:M372)</f>
        <v>2</v>
      </c>
      <c r="N370" s="408"/>
      <c r="O370" s="409"/>
    </row>
    <row r="371" spans="1:15">
      <c r="A371" s="347"/>
      <c r="B371" s="347"/>
      <c r="C371" s="348"/>
      <c r="D371" s="421" t="s">
        <v>1502</v>
      </c>
      <c r="E371" s="422"/>
      <c r="F371" s="423">
        <v>2</v>
      </c>
      <c r="G371" s="352"/>
      <c r="H371" s="353"/>
      <c r="I371" s="353"/>
      <c r="J371" s="353"/>
      <c r="K371" s="353"/>
      <c r="L371" s="353"/>
      <c r="M371" s="353">
        <f>F371</f>
        <v>2</v>
      </c>
      <c r="N371" s="405"/>
      <c r="O371" s="352"/>
    </row>
    <row r="372" spans="1:15">
      <c r="A372" s="354"/>
      <c r="B372" s="354"/>
      <c r="C372" s="355"/>
      <c r="D372" s="356"/>
      <c r="E372" s="362"/>
      <c r="F372" s="358"/>
      <c r="G372" s="359"/>
      <c r="H372" s="360"/>
      <c r="I372" s="360"/>
      <c r="J372" s="360"/>
      <c r="K372" s="360"/>
      <c r="L372" s="360"/>
      <c r="M372" s="360"/>
      <c r="N372" s="405"/>
      <c r="O372" s="352"/>
    </row>
    <row r="373" spans="1:15" ht="110.25">
      <c r="A373" s="339" t="s">
        <v>1503</v>
      </c>
      <c r="B373" s="339" t="s">
        <v>160</v>
      </c>
      <c r="C373" s="340" t="s">
        <v>381</v>
      </c>
      <c r="D373" s="341" t="s">
        <v>1258</v>
      </c>
      <c r="E373" s="342" t="s">
        <v>163</v>
      </c>
      <c r="F373" s="343"/>
      <c r="G373" s="344"/>
      <c r="H373" s="345"/>
      <c r="I373" s="345"/>
      <c r="J373" s="345"/>
      <c r="K373" s="345"/>
      <c r="L373" s="345"/>
      <c r="M373" s="346">
        <f>SUM(M374:M375)</f>
        <v>1</v>
      </c>
      <c r="N373" s="408"/>
      <c r="O373" s="409"/>
    </row>
    <row r="374" spans="1:15">
      <c r="A374" s="347"/>
      <c r="B374" s="347"/>
      <c r="C374" s="348"/>
      <c r="D374" s="421" t="s">
        <v>1502</v>
      </c>
      <c r="E374" s="422"/>
      <c r="F374" s="423">
        <v>1</v>
      </c>
      <c r="G374" s="352"/>
      <c r="H374" s="353"/>
      <c r="I374" s="353"/>
      <c r="J374" s="353"/>
      <c r="K374" s="353"/>
      <c r="L374" s="353"/>
      <c r="M374" s="353">
        <f>F374</f>
        <v>1</v>
      </c>
      <c r="N374" s="405"/>
      <c r="O374" s="352"/>
    </row>
    <row r="375" spans="1:15">
      <c r="A375" s="354"/>
      <c r="B375" s="354"/>
      <c r="C375" s="355"/>
      <c r="D375" s="356"/>
      <c r="E375" s="362"/>
      <c r="F375" s="358"/>
      <c r="G375" s="359"/>
      <c r="H375" s="360"/>
      <c r="I375" s="360"/>
      <c r="J375" s="360"/>
      <c r="K375" s="360"/>
      <c r="L375" s="360"/>
      <c r="M375" s="360"/>
      <c r="N375" s="405"/>
      <c r="O375" s="352"/>
    </row>
    <row r="376" spans="1:15">
      <c r="A376" s="447" t="s">
        <v>1504</v>
      </c>
      <c r="B376" s="448"/>
      <c r="C376" s="449"/>
      <c r="D376" s="450" t="s">
        <v>396</v>
      </c>
      <c r="E376" s="451"/>
      <c r="F376" s="452"/>
      <c r="G376" s="453"/>
      <c r="H376" s="453"/>
      <c r="I376" s="453"/>
      <c r="J376" s="453"/>
      <c r="K376" s="453"/>
      <c r="L376" s="453"/>
      <c r="M376" s="454"/>
      <c r="N376" s="463"/>
      <c r="O376" s="454"/>
    </row>
    <row r="377" spans="1:15" ht="94.5">
      <c r="A377" s="339" t="s">
        <v>1505</v>
      </c>
      <c r="B377" s="339" t="s">
        <v>160</v>
      </c>
      <c r="C377" s="340" t="s">
        <v>398</v>
      </c>
      <c r="D377" s="341" t="s">
        <v>399</v>
      </c>
      <c r="E377" s="342" t="s">
        <v>167</v>
      </c>
      <c r="F377" s="343"/>
      <c r="G377" s="344"/>
      <c r="H377" s="345"/>
      <c r="I377" s="345"/>
      <c r="J377" s="345"/>
      <c r="K377" s="345"/>
      <c r="L377" s="345"/>
      <c r="M377" s="346">
        <f>SUM(M378:M379)</f>
        <v>2</v>
      </c>
      <c r="N377" s="408"/>
      <c r="O377" s="409"/>
    </row>
    <row r="378" spans="1:15">
      <c r="A378" s="347"/>
      <c r="B378" s="347"/>
      <c r="C378" s="348"/>
      <c r="D378" s="421" t="s">
        <v>1502</v>
      </c>
      <c r="E378" s="422"/>
      <c r="F378" s="423">
        <v>2</v>
      </c>
      <c r="G378" s="352"/>
      <c r="H378" s="353"/>
      <c r="I378" s="353"/>
      <c r="J378" s="353"/>
      <c r="K378" s="353"/>
      <c r="L378" s="353"/>
      <c r="M378" s="353">
        <f>F378</f>
        <v>2</v>
      </c>
      <c r="N378" s="405"/>
      <c r="O378" s="352"/>
    </row>
    <row r="379" spans="1:15">
      <c r="A379" s="354"/>
      <c r="B379" s="354"/>
      <c r="C379" s="355"/>
      <c r="D379" s="356"/>
      <c r="E379" s="362"/>
      <c r="F379" s="358"/>
      <c r="G379" s="359"/>
      <c r="H379" s="360"/>
      <c r="I379" s="360"/>
      <c r="J379" s="360"/>
      <c r="K379" s="360"/>
      <c r="L379" s="360"/>
      <c r="M379" s="360"/>
      <c r="N379" s="405"/>
      <c r="O379" s="352"/>
    </row>
    <row r="380" spans="1:15" ht="94.5">
      <c r="A380" s="339" t="s">
        <v>1506</v>
      </c>
      <c r="B380" s="339" t="s">
        <v>160</v>
      </c>
      <c r="C380" s="340" t="s">
        <v>401</v>
      </c>
      <c r="D380" s="341" t="s">
        <v>402</v>
      </c>
      <c r="E380" s="342" t="s">
        <v>167</v>
      </c>
      <c r="F380" s="343"/>
      <c r="G380" s="344"/>
      <c r="H380" s="345"/>
      <c r="I380" s="345"/>
      <c r="J380" s="345"/>
      <c r="K380" s="345"/>
      <c r="L380" s="345"/>
      <c r="M380" s="346">
        <f>SUM(M381:M382)</f>
        <v>3</v>
      </c>
      <c r="N380" s="408"/>
      <c r="O380" s="409"/>
    </row>
    <row r="381" spans="1:15">
      <c r="A381" s="347"/>
      <c r="B381" s="347"/>
      <c r="C381" s="348"/>
      <c r="D381" s="421" t="s">
        <v>1502</v>
      </c>
      <c r="E381" s="422"/>
      <c r="F381" s="423">
        <v>3</v>
      </c>
      <c r="G381" s="352"/>
      <c r="H381" s="353"/>
      <c r="I381" s="353"/>
      <c r="J381" s="353"/>
      <c r="K381" s="353"/>
      <c r="L381" s="353"/>
      <c r="M381" s="353">
        <f>F381</f>
        <v>3</v>
      </c>
      <c r="N381" s="405"/>
      <c r="O381" s="352"/>
    </row>
    <row r="382" spans="1:15">
      <c r="A382" s="354"/>
      <c r="B382" s="354"/>
      <c r="C382" s="355"/>
      <c r="D382" s="356"/>
      <c r="E382" s="362"/>
      <c r="F382" s="358"/>
      <c r="G382" s="359"/>
      <c r="H382" s="360"/>
      <c r="I382" s="360"/>
      <c r="J382" s="360"/>
      <c r="K382" s="360"/>
      <c r="L382" s="360"/>
      <c r="M382" s="360"/>
      <c r="N382" s="405"/>
      <c r="O382" s="352"/>
    </row>
    <row r="383" spans="1:15" ht="94.5">
      <c r="A383" s="339" t="s">
        <v>1507</v>
      </c>
      <c r="B383" s="339" t="s">
        <v>160</v>
      </c>
      <c r="C383" s="340" t="s">
        <v>404</v>
      </c>
      <c r="D383" s="341" t="s">
        <v>405</v>
      </c>
      <c r="E383" s="342" t="s">
        <v>167</v>
      </c>
      <c r="F383" s="343"/>
      <c r="G383" s="344"/>
      <c r="H383" s="345"/>
      <c r="I383" s="345"/>
      <c r="J383" s="345"/>
      <c r="K383" s="345"/>
      <c r="L383" s="345"/>
      <c r="M383" s="346">
        <f>SUM(M384:M385)</f>
        <v>2</v>
      </c>
      <c r="N383" s="408"/>
      <c r="O383" s="409"/>
    </row>
    <row r="384" spans="1:15">
      <c r="A384" s="347"/>
      <c r="B384" s="347"/>
      <c r="C384" s="348"/>
      <c r="D384" s="421" t="s">
        <v>1502</v>
      </c>
      <c r="E384" s="422"/>
      <c r="F384" s="423">
        <v>2</v>
      </c>
      <c r="G384" s="352"/>
      <c r="H384" s="353"/>
      <c r="I384" s="353"/>
      <c r="J384" s="353"/>
      <c r="K384" s="353"/>
      <c r="L384" s="353"/>
      <c r="M384" s="353">
        <f>F384</f>
        <v>2</v>
      </c>
      <c r="N384" s="405"/>
      <c r="O384" s="352"/>
    </row>
    <row r="385" spans="1:15">
      <c r="A385" s="354"/>
      <c r="B385" s="354"/>
      <c r="C385" s="355"/>
      <c r="D385" s="356"/>
      <c r="E385" s="362"/>
      <c r="F385" s="358"/>
      <c r="G385" s="359"/>
      <c r="H385" s="360"/>
      <c r="I385" s="360"/>
      <c r="J385" s="360"/>
      <c r="K385" s="360"/>
      <c r="L385" s="360"/>
      <c r="M385" s="360"/>
      <c r="N385" s="405"/>
      <c r="O385" s="352"/>
    </row>
    <row r="386" spans="1:15">
      <c r="A386" s="311" t="s">
        <v>1508</v>
      </c>
      <c r="B386" s="312"/>
      <c r="C386" s="313"/>
      <c r="D386" s="314" t="s">
        <v>76</v>
      </c>
      <c r="E386" s="327"/>
      <c r="F386" s="328"/>
      <c r="G386" s="329"/>
      <c r="H386" s="329"/>
      <c r="I386" s="329"/>
      <c r="J386" s="329"/>
      <c r="K386" s="329"/>
      <c r="L386" s="329"/>
      <c r="M386" s="330"/>
      <c r="N386" s="407"/>
      <c r="O386" s="330"/>
    </row>
    <row r="387" spans="1:15" ht="47.25">
      <c r="A387" s="339" t="s">
        <v>1509</v>
      </c>
      <c r="B387" s="339" t="s">
        <v>160</v>
      </c>
      <c r="C387" s="340" t="s">
        <v>385</v>
      </c>
      <c r="D387" s="446" t="s">
        <v>408</v>
      </c>
      <c r="E387" s="342" t="s">
        <v>167</v>
      </c>
      <c r="F387" s="343"/>
      <c r="G387" s="344"/>
      <c r="H387" s="345"/>
      <c r="I387" s="345"/>
      <c r="J387" s="345"/>
      <c r="K387" s="345"/>
      <c r="L387" s="345"/>
      <c r="M387" s="346">
        <f>SUM(M388:M389)</f>
        <v>8</v>
      </c>
      <c r="N387" s="408"/>
      <c r="O387" s="409"/>
    </row>
    <row r="388" spans="1:15">
      <c r="A388" s="347"/>
      <c r="B388" s="347"/>
      <c r="C388" s="348"/>
      <c r="D388" s="421" t="s">
        <v>1502</v>
      </c>
      <c r="E388" s="422"/>
      <c r="F388" s="423">
        <v>8</v>
      </c>
      <c r="G388" s="352"/>
      <c r="H388" s="353"/>
      <c r="I388" s="353"/>
      <c r="J388" s="353"/>
      <c r="K388" s="353"/>
      <c r="L388" s="353"/>
      <c r="M388" s="353">
        <f>F388</f>
        <v>8</v>
      </c>
      <c r="N388" s="405"/>
      <c r="O388" s="352"/>
    </row>
    <row r="389" spans="1:15">
      <c r="A389" s="354"/>
      <c r="B389" s="354"/>
      <c r="C389" s="355"/>
      <c r="D389" s="356"/>
      <c r="E389" s="362"/>
      <c r="F389" s="358"/>
      <c r="G389" s="359"/>
      <c r="H389" s="360"/>
      <c r="I389" s="360"/>
      <c r="J389" s="360"/>
      <c r="K389" s="360"/>
      <c r="L389" s="360"/>
      <c r="M389" s="360"/>
      <c r="N389" s="405"/>
      <c r="O389" s="352"/>
    </row>
    <row r="390" spans="1:15" ht="47.25">
      <c r="A390" s="339" t="s">
        <v>1510</v>
      </c>
      <c r="B390" s="339" t="s">
        <v>160</v>
      </c>
      <c r="C390" s="340" t="s">
        <v>388</v>
      </c>
      <c r="D390" s="446" t="s">
        <v>411</v>
      </c>
      <c r="E390" s="342" t="s">
        <v>167</v>
      </c>
      <c r="F390" s="343"/>
      <c r="G390" s="344"/>
      <c r="H390" s="345"/>
      <c r="I390" s="345"/>
      <c r="J390" s="345"/>
      <c r="K390" s="345"/>
      <c r="L390" s="345"/>
      <c r="M390" s="346">
        <f>SUM(M391:M392)</f>
        <v>3</v>
      </c>
      <c r="N390" s="408"/>
      <c r="O390" s="409"/>
    </row>
    <row r="391" spans="1:15">
      <c r="A391" s="347"/>
      <c r="B391" s="347"/>
      <c r="C391" s="348"/>
      <c r="D391" s="421" t="s">
        <v>1502</v>
      </c>
      <c r="E391" s="422"/>
      <c r="F391" s="423">
        <v>3</v>
      </c>
      <c r="G391" s="352"/>
      <c r="H391" s="353"/>
      <c r="I391" s="353"/>
      <c r="J391" s="353"/>
      <c r="K391" s="353"/>
      <c r="L391" s="353"/>
      <c r="M391" s="353">
        <f>F391</f>
        <v>3</v>
      </c>
      <c r="N391" s="405"/>
      <c r="O391" s="352"/>
    </row>
    <row r="392" spans="1:15">
      <c r="A392" s="354"/>
      <c r="B392" s="354"/>
      <c r="C392" s="355"/>
      <c r="D392" s="356"/>
      <c r="E392" s="362"/>
      <c r="F392" s="358"/>
      <c r="G392" s="359"/>
      <c r="H392" s="360"/>
      <c r="I392" s="360"/>
      <c r="J392" s="360"/>
      <c r="K392" s="360"/>
      <c r="L392" s="360"/>
      <c r="M392" s="360"/>
      <c r="N392" s="405"/>
      <c r="O392" s="352"/>
    </row>
    <row r="393" spans="1:15" ht="31.5">
      <c r="A393" s="339" t="s">
        <v>1511</v>
      </c>
      <c r="B393" s="339" t="s">
        <v>160</v>
      </c>
      <c r="C393" s="340" t="s">
        <v>407</v>
      </c>
      <c r="D393" s="446" t="s">
        <v>414</v>
      </c>
      <c r="E393" s="342" t="s">
        <v>167</v>
      </c>
      <c r="F393" s="343"/>
      <c r="G393" s="344"/>
      <c r="H393" s="345"/>
      <c r="I393" s="345"/>
      <c r="J393" s="345"/>
      <c r="K393" s="345"/>
      <c r="L393" s="345"/>
      <c r="M393" s="346">
        <f>SUM(M394:M395)</f>
        <v>16</v>
      </c>
      <c r="N393" s="408"/>
      <c r="O393" s="409"/>
    </row>
    <row r="394" spans="1:15">
      <c r="A394" s="347"/>
      <c r="B394" s="347"/>
      <c r="C394" s="348"/>
      <c r="D394" s="421" t="s">
        <v>1502</v>
      </c>
      <c r="E394" s="422"/>
      <c r="F394" s="423">
        <v>16</v>
      </c>
      <c r="G394" s="352"/>
      <c r="H394" s="353"/>
      <c r="I394" s="353"/>
      <c r="J394" s="353"/>
      <c r="K394" s="353"/>
      <c r="L394" s="353"/>
      <c r="M394" s="353">
        <f>F394</f>
        <v>16</v>
      </c>
      <c r="N394" s="405"/>
      <c r="O394" s="352"/>
    </row>
    <row r="395" spans="1:15">
      <c r="A395" s="354"/>
      <c r="B395" s="354"/>
      <c r="C395" s="355"/>
      <c r="D395" s="356"/>
      <c r="E395" s="362"/>
      <c r="F395" s="358"/>
      <c r="G395" s="359"/>
      <c r="H395" s="360"/>
      <c r="I395" s="360"/>
      <c r="J395" s="360"/>
      <c r="K395" s="360"/>
      <c r="L395" s="360"/>
      <c r="M395" s="360"/>
      <c r="N395" s="405"/>
      <c r="O395" s="352"/>
    </row>
    <row r="396" spans="1:15" ht="31.5">
      <c r="A396" s="339" t="s">
        <v>1512</v>
      </c>
      <c r="B396" s="339" t="s">
        <v>2</v>
      </c>
      <c r="C396" s="340">
        <v>92691</v>
      </c>
      <c r="D396" s="446" t="s">
        <v>416</v>
      </c>
      <c r="E396" s="342" t="s">
        <v>180</v>
      </c>
      <c r="F396" s="343"/>
      <c r="G396" s="344"/>
      <c r="H396" s="345"/>
      <c r="I396" s="345"/>
      <c r="J396" s="345"/>
      <c r="K396" s="345"/>
      <c r="L396" s="345"/>
      <c r="M396" s="346">
        <f>SUM(M397:M398)</f>
        <v>16</v>
      </c>
      <c r="N396" s="408"/>
      <c r="O396" s="409"/>
    </row>
    <row r="397" spans="1:15">
      <c r="A397" s="347"/>
      <c r="B397" s="347"/>
      <c r="C397" s="348"/>
      <c r="D397" s="421" t="s">
        <v>1502</v>
      </c>
      <c r="E397" s="422"/>
      <c r="F397" s="423">
        <v>16</v>
      </c>
      <c r="G397" s="352"/>
      <c r="H397" s="353"/>
      <c r="I397" s="353"/>
      <c r="J397" s="353"/>
      <c r="K397" s="353"/>
      <c r="L397" s="353"/>
      <c r="M397" s="353">
        <f>F397</f>
        <v>16</v>
      </c>
      <c r="N397" s="405"/>
      <c r="O397" s="352"/>
    </row>
    <row r="398" spans="1:15">
      <c r="A398" s="354"/>
      <c r="B398" s="354"/>
      <c r="C398" s="355"/>
      <c r="D398" s="356"/>
      <c r="E398" s="362"/>
      <c r="F398" s="358"/>
      <c r="G398" s="359"/>
      <c r="H398" s="360"/>
      <c r="I398" s="360"/>
      <c r="J398" s="360"/>
      <c r="K398" s="360"/>
      <c r="L398" s="360"/>
      <c r="M398" s="360"/>
      <c r="N398" s="405"/>
      <c r="O398" s="352"/>
    </row>
    <row r="399" spans="1:15" ht="31.5">
      <c r="A399" s="339" t="s">
        <v>1513</v>
      </c>
      <c r="B399" s="339" t="s">
        <v>160</v>
      </c>
      <c r="C399" s="340" t="s">
        <v>1514</v>
      </c>
      <c r="D399" s="446" t="s">
        <v>1515</v>
      </c>
      <c r="E399" s="342" t="s">
        <v>167</v>
      </c>
      <c r="F399" s="343"/>
      <c r="G399" s="344"/>
      <c r="H399" s="345"/>
      <c r="I399" s="345"/>
      <c r="J399" s="345"/>
      <c r="K399" s="345"/>
      <c r="L399" s="345"/>
      <c r="M399" s="346">
        <f>SUM(M400:M401)</f>
        <v>16</v>
      </c>
      <c r="N399" s="408"/>
      <c r="O399" s="409"/>
    </row>
    <row r="400" spans="1:15">
      <c r="A400" s="347"/>
      <c r="B400" s="347"/>
      <c r="C400" s="348"/>
      <c r="D400" s="421" t="s">
        <v>1502</v>
      </c>
      <c r="E400" s="422"/>
      <c r="F400" s="423">
        <v>16</v>
      </c>
      <c r="G400" s="352"/>
      <c r="H400" s="353"/>
      <c r="I400" s="353"/>
      <c r="J400" s="353"/>
      <c r="K400" s="353"/>
      <c r="L400" s="353"/>
      <c r="M400" s="353">
        <f>F400</f>
        <v>16</v>
      </c>
      <c r="N400" s="405"/>
      <c r="O400" s="352"/>
    </row>
    <row r="401" spans="1:15">
      <c r="A401" s="354"/>
      <c r="B401" s="354"/>
      <c r="C401" s="355"/>
      <c r="D401" s="356"/>
      <c r="E401" s="362"/>
      <c r="F401" s="358"/>
      <c r="G401" s="359"/>
      <c r="H401" s="360"/>
      <c r="I401" s="360"/>
      <c r="J401" s="360"/>
      <c r="K401" s="360"/>
      <c r="L401" s="360"/>
      <c r="M401" s="360"/>
      <c r="N401" s="405"/>
      <c r="O401" s="352"/>
    </row>
    <row r="402" spans="1:15" ht="31.5">
      <c r="A402" s="339" t="s">
        <v>1516</v>
      </c>
      <c r="B402" s="339" t="s">
        <v>3</v>
      </c>
      <c r="C402" s="340" t="s">
        <v>420</v>
      </c>
      <c r="D402" s="446" t="s">
        <v>421</v>
      </c>
      <c r="E402" s="342" t="s">
        <v>167</v>
      </c>
      <c r="F402" s="343"/>
      <c r="G402" s="344"/>
      <c r="H402" s="345"/>
      <c r="I402" s="345"/>
      <c r="J402" s="345"/>
      <c r="K402" s="345"/>
      <c r="L402" s="345"/>
      <c r="M402" s="346">
        <f>SUM(M403:M404)</f>
        <v>16</v>
      </c>
      <c r="N402" s="408"/>
      <c r="O402" s="409"/>
    </row>
    <row r="403" spans="1:15">
      <c r="A403" s="347"/>
      <c r="B403" s="347"/>
      <c r="C403" s="348"/>
      <c r="D403" s="421" t="s">
        <v>1502</v>
      </c>
      <c r="E403" s="422"/>
      <c r="F403" s="423">
        <v>16</v>
      </c>
      <c r="G403" s="352"/>
      <c r="H403" s="353"/>
      <c r="I403" s="353"/>
      <c r="J403" s="353"/>
      <c r="K403" s="353"/>
      <c r="L403" s="353"/>
      <c r="M403" s="353">
        <f>F403</f>
        <v>16</v>
      </c>
      <c r="N403" s="405"/>
      <c r="O403" s="352"/>
    </row>
    <row r="404" spans="1:15">
      <c r="A404" s="354"/>
      <c r="B404" s="354"/>
      <c r="C404" s="355"/>
      <c r="D404" s="356"/>
      <c r="E404" s="362"/>
      <c r="F404" s="358"/>
      <c r="G404" s="359"/>
      <c r="H404" s="360"/>
      <c r="I404" s="360"/>
      <c r="J404" s="360"/>
      <c r="K404" s="360"/>
      <c r="L404" s="360"/>
      <c r="M404" s="360"/>
      <c r="N404" s="405"/>
      <c r="O404" s="352"/>
    </row>
    <row r="405" spans="1:15" ht="31.5">
      <c r="A405" s="339" t="s">
        <v>1517</v>
      </c>
      <c r="B405" s="339" t="s">
        <v>2</v>
      </c>
      <c r="C405" s="340">
        <v>92696</v>
      </c>
      <c r="D405" s="446" t="s">
        <v>423</v>
      </c>
      <c r="E405" s="342" t="s">
        <v>167</v>
      </c>
      <c r="F405" s="343"/>
      <c r="G405" s="344"/>
      <c r="H405" s="345"/>
      <c r="I405" s="345"/>
      <c r="J405" s="345"/>
      <c r="K405" s="345"/>
      <c r="L405" s="345"/>
      <c r="M405" s="346">
        <f>SUM(M406:M407)</f>
        <v>16</v>
      </c>
      <c r="N405" s="408"/>
      <c r="O405" s="409"/>
    </row>
    <row r="406" spans="1:15">
      <c r="A406" s="347"/>
      <c r="B406" s="347"/>
      <c r="C406" s="348"/>
      <c r="D406" s="421" t="s">
        <v>1502</v>
      </c>
      <c r="E406" s="422"/>
      <c r="F406" s="423">
        <v>16</v>
      </c>
      <c r="G406" s="352"/>
      <c r="H406" s="353"/>
      <c r="I406" s="353"/>
      <c r="J406" s="353"/>
      <c r="K406" s="353"/>
      <c r="L406" s="353"/>
      <c r="M406" s="353">
        <f>F406</f>
        <v>16</v>
      </c>
      <c r="N406" s="405"/>
      <c r="O406" s="352"/>
    </row>
    <row r="407" spans="1:15">
      <c r="A407" s="354"/>
      <c r="B407" s="354"/>
      <c r="C407" s="355"/>
      <c r="D407" s="356"/>
      <c r="E407" s="362"/>
      <c r="F407" s="358"/>
      <c r="G407" s="359"/>
      <c r="H407" s="360"/>
      <c r="I407" s="360"/>
      <c r="J407" s="360"/>
      <c r="K407" s="360"/>
      <c r="L407" s="360"/>
      <c r="M407" s="360"/>
      <c r="N407" s="405"/>
      <c r="O407" s="352"/>
    </row>
    <row r="408" spans="1:15" ht="31.5">
      <c r="A408" s="339" t="s">
        <v>1518</v>
      </c>
      <c r="B408" s="339" t="s">
        <v>160</v>
      </c>
      <c r="C408" s="340" t="s">
        <v>410</v>
      </c>
      <c r="D408" s="446" t="s">
        <v>426</v>
      </c>
      <c r="E408" s="342" t="s">
        <v>167</v>
      </c>
      <c r="F408" s="343"/>
      <c r="G408" s="344"/>
      <c r="H408" s="345"/>
      <c r="I408" s="345"/>
      <c r="J408" s="345"/>
      <c r="K408" s="345"/>
      <c r="L408" s="345"/>
      <c r="M408" s="346">
        <f>SUM(M409:M410)</f>
        <v>3</v>
      </c>
      <c r="N408" s="408"/>
      <c r="O408" s="409"/>
    </row>
    <row r="409" spans="1:15">
      <c r="A409" s="347"/>
      <c r="B409" s="347"/>
      <c r="C409" s="348"/>
      <c r="D409" s="421" t="s">
        <v>1502</v>
      </c>
      <c r="E409" s="422"/>
      <c r="F409" s="423">
        <v>3</v>
      </c>
      <c r="G409" s="352"/>
      <c r="H409" s="353"/>
      <c r="I409" s="353"/>
      <c r="J409" s="353"/>
      <c r="K409" s="353"/>
      <c r="L409" s="353"/>
      <c r="M409" s="353">
        <f>F409</f>
        <v>3</v>
      </c>
      <c r="N409" s="405"/>
      <c r="O409" s="352"/>
    </row>
    <row r="410" spans="1:15">
      <c r="A410" s="354"/>
      <c r="B410" s="354"/>
      <c r="C410" s="355"/>
      <c r="D410" s="356"/>
      <c r="E410" s="362"/>
      <c r="F410" s="358"/>
      <c r="G410" s="359"/>
      <c r="H410" s="360"/>
      <c r="I410" s="360"/>
      <c r="J410" s="360"/>
      <c r="K410" s="360"/>
      <c r="L410" s="360"/>
      <c r="M410" s="360"/>
      <c r="N410" s="405"/>
      <c r="O410" s="352"/>
    </row>
    <row r="411" spans="1:15" ht="47.25">
      <c r="A411" s="339" t="s">
        <v>1519</v>
      </c>
      <c r="B411" s="339" t="s">
        <v>160</v>
      </c>
      <c r="C411" s="340" t="s">
        <v>428</v>
      </c>
      <c r="D411" s="446" t="s">
        <v>429</v>
      </c>
      <c r="E411" s="342" t="s">
        <v>167</v>
      </c>
      <c r="F411" s="343"/>
      <c r="G411" s="344"/>
      <c r="H411" s="345"/>
      <c r="I411" s="345"/>
      <c r="J411" s="345"/>
      <c r="K411" s="345"/>
      <c r="L411" s="345"/>
      <c r="M411" s="346">
        <f>SUM(M412:M413)</f>
        <v>6</v>
      </c>
      <c r="N411" s="408"/>
      <c r="O411" s="409"/>
    </row>
    <row r="412" spans="1:15">
      <c r="A412" s="347"/>
      <c r="B412" s="347"/>
      <c r="C412" s="348"/>
      <c r="D412" s="421" t="s">
        <v>1502</v>
      </c>
      <c r="E412" s="422"/>
      <c r="F412" s="423">
        <v>6</v>
      </c>
      <c r="G412" s="352"/>
      <c r="H412" s="353"/>
      <c r="I412" s="353"/>
      <c r="J412" s="353"/>
      <c r="K412" s="353"/>
      <c r="L412" s="353"/>
      <c r="M412" s="353">
        <f>F412</f>
        <v>6</v>
      </c>
      <c r="N412" s="405"/>
      <c r="O412" s="352"/>
    </row>
    <row r="413" spans="1:15">
      <c r="A413" s="354"/>
      <c r="B413" s="354"/>
      <c r="C413" s="355"/>
      <c r="D413" s="356"/>
      <c r="E413" s="362"/>
      <c r="F413" s="358"/>
      <c r="G413" s="359"/>
      <c r="H413" s="360"/>
      <c r="I413" s="360"/>
      <c r="J413" s="360"/>
      <c r="K413" s="360"/>
      <c r="L413" s="360"/>
      <c r="M413" s="360"/>
      <c r="N413" s="405"/>
      <c r="O413" s="352"/>
    </row>
    <row r="414" spans="1:15" ht="31.5">
      <c r="A414" s="339" t="s">
        <v>1520</v>
      </c>
      <c r="B414" s="339" t="s">
        <v>160</v>
      </c>
      <c r="C414" s="340" t="s">
        <v>431</v>
      </c>
      <c r="D414" s="446" t="s">
        <v>432</v>
      </c>
      <c r="E414" s="342" t="s">
        <v>180</v>
      </c>
      <c r="F414" s="343"/>
      <c r="G414" s="344"/>
      <c r="H414" s="345"/>
      <c r="I414" s="345"/>
      <c r="J414" s="345"/>
      <c r="K414" s="345"/>
      <c r="L414" s="345"/>
      <c r="M414" s="346">
        <f>SUM(M415:M416)</f>
        <v>3</v>
      </c>
      <c r="N414" s="408"/>
      <c r="O414" s="409"/>
    </row>
    <row r="415" spans="1:15">
      <c r="A415" s="347"/>
      <c r="B415" s="347"/>
      <c r="C415" s="348"/>
      <c r="D415" s="421" t="s">
        <v>1502</v>
      </c>
      <c r="E415" s="422"/>
      <c r="F415" s="423">
        <v>3</v>
      </c>
      <c r="G415" s="352"/>
      <c r="H415" s="353"/>
      <c r="I415" s="353"/>
      <c r="J415" s="353"/>
      <c r="K415" s="353"/>
      <c r="L415" s="353"/>
      <c r="M415" s="353">
        <f>F415</f>
        <v>3</v>
      </c>
      <c r="N415" s="405"/>
      <c r="O415" s="352"/>
    </row>
    <row r="416" spans="1:15">
      <c r="A416" s="354"/>
      <c r="B416" s="354"/>
      <c r="C416" s="355"/>
      <c r="D416" s="356"/>
      <c r="E416" s="362"/>
      <c r="F416" s="358"/>
      <c r="G416" s="359"/>
      <c r="H416" s="360"/>
      <c r="I416" s="360"/>
      <c r="J416" s="360"/>
      <c r="K416" s="360"/>
      <c r="L416" s="360"/>
      <c r="M416" s="360"/>
      <c r="N416" s="405"/>
      <c r="O416" s="352"/>
    </row>
    <row r="417" spans="1:15" ht="31.5">
      <c r="A417" s="339" t="s">
        <v>1521</v>
      </c>
      <c r="B417" s="339" t="s">
        <v>160</v>
      </c>
      <c r="C417" s="340" t="s">
        <v>434</v>
      </c>
      <c r="D417" s="446" t="s">
        <v>435</v>
      </c>
      <c r="E417" s="342" t="s">
        <v>167</v>
      </c>
      <c r="F417" s="343"/>
      <c r="G417" s="344"/>
      <c r="H417" s="345"/>
      <c r="I417" s="345"/>
      <c r="J417" s="345"/>
      <c r="K417" s="345"/>
      <c r="L417" s="345"/>
      <c r="M417" s="346">
        <f>SUM(M418:M419)</f>
        <v>6</v>
      </c>
      <c r="N417" s="408"/>
      <c r="O417" s="409"/>
    </row>
    <row r="418" spans="1:15">
      <c r="A418" s="347"/>
      <c r="B418" s="347"/>
      <c r="C418" s="348"/>
      <c r="D418" s="421" t="s">
        <v>1502</v>
      </c>
      <c r="E418" s="422"/>
      <c r="F418" s="423">
        <v>6</v>
      </c>
      <c r="G418" s="352"/>
      <c r="H418" s="353"/>
      <c r="I418" s="353"/>
      <c r="J418" s="353"/>
      <c r="K418" s="353"/>
      <c r="L418" s="353"/>
      <c r="M418" s="353">
        <f>F418</f>
        <v>6</v>
      </c>
      <c r="N418" s="405"/>
      <c r="O418" s="352"/>
    </row>
    <row r="419" spans="1:15">
      <c r="A419" s="354"/>
      <c r="B419" s="354"/>
      <c r="C419" s="355"/>
      <c r="D419" s="356"/>
      <c r="E419" s="362"/>
      <c r="F419" s="358"/>
      <c r="G419" s="359"/>
      <c r="H419" s="360"/>
      <c r="I419" s="360"/>
      <c r="J419" s="360"/>
      <c r="K419" s="360"/>
      <c r="L419" s="360"/>
      <c r="M419" s="360"/>
      <c r="N419" s="405"/>
      <c r="O419" s="352"/>
    </row>
    <row r="420" spans="1:15" ht="31.5">
      <c r="A420" s="339" t="s">
        <v>1522</v>
      </c>
      <c r="B420" s="339" t="s">
        <v>160</v>
      </c>
      <c r="C420" s="340" t="s">
        <v>437</v>
      </c>
      <c r="D420" s="446" t="s">
        <v>438</v>
      </c>
      <c r="E420" s="342" t="s">
        <v>167</v>
      </c>
      <c r="F420" s="343"/>
      <c r="G420" s="344"/>
      <c r="H420" s="345"/>
      <c r="I420" s="345"/>
      <c r="J420" s="345"/>
      <c r="K420" s="345"/>
      <c r="L420" s="345"/>
      <c r="M420" s="346">
        <f>SUM(M421:M422)</f>
        <v>6</v>
      </c>
      <c r="N420" s="408"/>
      <c r="O420" s="409"/>
    </row>
    <row r="421" spans="1:15">
      <c r="A421" s="347"/>
      <c r="B421" s="347"/>
      <c r="C421" s="348"/>
      <c r="D421" s="421" t="s">
        <v>1502</v>
      </c>
      <c r="E421" s="422"/>
      <c r="F421" s="423">
        <v>6</v>
      </c>
      <c r="G421" s="352"/>
      <c r="H421" s="353"/>
      <c r="I421" s="353"/>
      <c r="J421" s="353"/>
      <c r="K421" s="353"/>
      <c r="L421" s="353"/>
      <c r="M421" s="353">
        <f>F421</f>
        <v>6</v>
      </c>
      <c r="N421" s="405"/>
      <c r="O421" s="352"/>
    </row>
    <row r="422" spans="1:15">
      <c r="A422" s="354"/>
      <c r="B422" s="354"/>
      <c r="C422" s="355"/>
      <c r="D422" s="356"/>
      <c r="E422" s="362"/>
      <c r="F422" s="358"/>
      <c r="G422" s="359"/>
      <c r="H422" s="360"/>
      <c r="I422" s="360"/>
      <c r="J422" s="360"/>
      <c r="K422" s="360"/>
      <c r="L422" s="360"/>
      <c r="M422" s="360"/>
      <c r="N422" s="405"/>
      <c r="O422" s="352"/>
    </row>
    <row r="423" spans="1:15" ht="31.5">
      <c r="A423" s="339" t="s">
        <v>1523</v>
      </c>
      <c r="B423" s="339" t="s">
        <v>160</v>
      </c>
      <c r="C423" s="340" t="s">
        <v>440</v>
      </c>
      <c r="D423" s="446" t="s">
        <v>441</v>
      </c>
      <c r="E423" s="342" t="s">
        <v>167</v>
      </c>
      <c r="F423" s="343"/>
      <c r="G423" s="344"/>
      <c r="H423" s="345"/>
      <c r="I423" s="345"/>
      <c r="J423" s="345"/>
      <c r="K423" s="345"/>
      <c r="L423" s="345"/>
      <c r="M423" s="346">
        <f>SUM(M424:M425)</f>
        <v>12</v>
      </c>
      <c r="N423" s="408"/>
      <c r="O423" s="409"/>
    </row>
    <row r="424" spans="1:15">
      <c r="A424" s="347"/>
      <c r="B424" s="347"/>
      <c r="C424" s="348"/>
      <c r="D424" s="421" t="s">
        <v>1502</v>
      </c>
      <c r="E424" s="422"/>
      <c r="F424" s="423">
        <v>12</v>
      </c>
      <c r="G424" s="352"/>
      <c r="H424" s="353"/>
      <c r="I424" s="353"/>
      <c r="J424" s="353"/>
      <c r="K424" s="353"/>
      <c r="L424" s="353"/>
      <c r="M424" s="353">
        <f>F424</f>
        <v>12</v>
      </c>
      <c r="N424" s="405"/>
      <c r="O424" s="352"/>
    </row>
    <row r="425" spans="1:15">
      <c r="A425" s="354"/>
      <c r="B425" s="354"/>
      <c r="C425" s="355"/>
      <c r="D425" s="356"/>
      <c r="E425" s="362"/>
      <c r="F425" s="358"/>
      <c r="G425" s="359"/>
      <c r="H425" s="360"/>
      <c r="I425" s="360"/>
      <c r="J425" s="360"/>
      <c r="K425" s="360"/>
      <c r="L425" s="360"/>
      <c r="M425" s="360"/>
      <c r="N425" s="405"/>
      <c r="O425" s="352"/>
    </row>
    <row r="426" spans="1:15" ht="47.25">
      <c r="A426" s="339" t="s">
        <v>1524</v>
      </c>
      <c r="B426" s="339" t="s">
        <v>160</v>
      </c>
      <c r="C426" s="340" t="s">
        <v>428</v>
      </c>
      <c r="D426" s="446" t="s">
        <v>1525</v>
      </c>
      <c r="E426" s="342" t="s">
        <v>167</v>
      </c>
      <c r="F426" s="343"/>
      <c r="G426" s="344"/>
      <c r="H426" s="345"/>
      <c r="I426" s="345"/>
      <c r="J426" s="345"/>
      <c r="K426" s="345"/>
      <c r="L426" s="345"/>
      <c r="M426" s="346">
        <f>SUM(M427:M428)</f>
        <v>10</v>
      </c>
      <c r="N426" s="408"/>
      <c r="O426" s="409"/>
    </row>
    <row r="427" spans="1:15">
      <c r="A427" s="347"/>
      <c r="B427" s="347"/>
      <c r="C427" s="348"/>
      <c r="D427" s="421" t="s">
        <v>1502</v>
      </c>
      <c r="E427" s="422"/>
      <c r="F427" s="423">
        <v>10</v>
      </c>
      <c r="G427" s="352"/>
      <c r="H427" s="353"/>
      <c r="I427" s="353"/>
      <c r="J427" s="353"/>
      <c r="K427" s="353"/>
      <c r="L427" s="353"/>
      <c r="M427" s="353">
        <f>F427</f>
        <v>10</v>
      </c>
      <c r="N427" s="405"/>
      <c r="O427" s="352"/>
    </row>
    <row r="428" spans="1:15">
      <c r="A428" s="354"/>
      <c r="B428" s="354"/>
      <c r="C428" s="355"/>
      <c r="D428" s="356"/>
      <c r="E428" s="362"/>
      <c r="F428" s="358"/>
      <c r="G428" s="359"/>
      <c r="H428" s="360"/>
      <c r="I428" s="360"/>
      <c r="J428" s="360"/>
      <c r="K428" s="360"/>
      <c r="L428" s="360"/>
      <c r="M428" s="360"/>
      <c r="N428" s="405"/>
      <c r="O428" s="352"/>
    </row>
    <row r="429" spans="1:15" ht="31.5">
      <c r="A429" s="339" t="s">
        <v>1526</v>
      </c>
      <c r="B429" s="339" t="s">
        <v>160</v>
      </c>
      <c r="C429" s="340" t="s">
        <v>434</v>
      </c>
      <c r="D429" s="446" t="s">
        <v>435</v>
      </c>
      <c r="E429" s="342" t="s">
        <v>167</v>
      </c>
      <c r="F429" s="343"/>
      <c r="G429" s="344"/>
      <c r="H429" s="345"/>
      <c r="I429" s="345"/>
      <c r="J429" s="345"/>
      <c r="K429" s="345"/>
      <c r="L429" s="345"/>
      <c r="M429" s="346">
        <f>SUM(M430:M431)</f>
        <v>10</v>
      </c>
      <c r="N429" s="408"/>
      <c r="O429" s="409"/>
    </row>
    <row r="430" spans="1:15">
      <c r="A430" s="347"/>
      <c r="B430" s="347"/>
      <c r="C430" s="348"/>
      <c r="D430" s="421" t="s">
        <v>1502</v>
      </c>
      <c r="E430" s="422"/>
      <c r="F430" s="423">
        <v>10</v>
      </c>
      <c r="G430" s="352"/>
      <c r="H430" s="353"/>
      <c r="I430" s="353"/>
      <c r="J430" s="353"/>
      <c r="K430" s="353"/>
      <c r="L430" s="353"/>
      <c r="M430" s="353">
        <f>F430</f>
        <v>10</v>
      </c>
      <c r="N430" s="405"/>
      <c r="O430" s="352"/>
    </row>
    <row r="431" spans="1:15">
      <c r="A431" s="354"/>
      <c r="B431" s="354"/>
      <c r="C431" s="355"/>
      <c r="D431" s="356"/>
      <c r="E431" s="362"/>
      <c r="F431" s="358"/>
      <c r="G431" s="359"/>
      <c r="H431" s="360"/>
      <c r="I431" s="360"/>
      <c r="J431" s="360"/>
      <c r="K431" s="360"/>
      <c r="L431" s="360"/>
      <c r="M431" s="360"/>
      <c r="N431" s="405"/>
      <c r="O431" s="352"/>
    </row>
    <row r="432" spans="1:15" ht="31.5">
      <c r="A432" s="339" t="s">
        <v>1527</v>
      </c>
      <c r="B432" s="339" t="s">
        <v>160</v>
      </c>
      <c r="C432" s="340" t="s">
        <v>437</v>
      </c>
      <c r="D432" s="446" t="s">
        <v>438</v>
      </c>
      <c r="E432" s="342" t="s">
        <v>167</v>
      </c>
      <c r="F432" s="343"/>
      <c r="G432" s="344"/>
      <c r="H432" s="345"/>
      <c r="I432" s="345"/>
      <c r="J432" s="345"/>
      <c r="K432" s="345"/>
      <c r="L432" s="345"/>
      <c r="M432" s="346">
        <f>SUM(M433:M434)</f>
        <v>10</v>
      </c>
      <c r="N432" s="408"/>
      <c r="O432" s="409"/>
    </row>
    <row r="433" spans="1:15">
      <c r="A433" s="347"/>
      <c r="B433" s="347"/>
      <c r="C433" s="348"/>
      <c r="D433" s="421" t="s">
        <v>1502</v>
      </c>
      <c r="E433" s="422"/>
      <c r="F433" s="423">
        <v>10</v>
      </c>
      <c r="G433" s="352"/>
      <c r="H433" s="353"/>
      <c r="I433" s="353"/>
      <c r="J433" s="353"/>
      <c r="K433" s="353"/>
      <c r="L433" s="353"/>
      <c r="M433" s="353">
        <f>F433</f>
        <v>10</v>
      </c>
      <c r="N433" s="405"/>
      <c r="O433" s="352"/>
    </row>
    <row r="434" spans="1:15">
      <c r="A434" s="354"/>
      <c r="B434" s="354"/>
      <c r="C434" s="355"/>
      <c r="D434" s="356"/>
      <c r="E434" s="362"/>
      <c r="F434" s="358"/>
      <c r="G434" s="359"/>
      <c r="H434" s="360"/>
      <c r="I434" s="360"/>
      <c r="J434" s="360"/>
      <c r="K434" s="360"/>
      <c r="L434" s="360"/>
      <c r="M434" s="360"/>
      <c r="N434" s="405"/>
      <c r="O434" s="352"/>
    </row>
    <row r="435" spans="1:15" ht="31.5">
      <c r="A435" s="339" t="s">
        <v>1528</v>
      </c>
      <c r="B435" s="339" t="s">
        <v>160</v>
      </c>
      <c r="C435" s="340" t="s">
        <v>443</v>
      </c>
      <c r="D435" s="446" t="s">
        <v>444</v>
      </c>
      <c r="E435" s="342" t="s">
        <v>167</v>
      </c>
      <c r="F435" s="343"/>
      <c r="G435" s="344"/>
      <c r="H435" s="345"/>
      <c r="I435" s="345"/>
      <c r="J435" s="345"/>
      <c r="K435" s="345"/>
      <c r="L435" s="345"/>
      <c r="M435" s="346">
        <f>SUM(M436:M437)</f>
        <v>5</v>
      </c>
      <c r="N435" s="408"/>
      <c r="O435" s="409"/>
    </row>
    <row r="436" spans="1:15">
      <c r="A436" s="347"/>
      <c r="B436" s="347"/>
      <c r="C436" s="348"/>
      <c r="D436" s="421" t="s">
        <v>1502</v>
      </c>
      <c r="E436" s="422"/>
      <c r="F436" s="423">
        <v>5</v>
      </c>
      <c r="G436" s="352"/>
      <c r="H436" s="353"/>
      <c r="I436" s="353"/>
      <c r="J436" s="353"/>
      <c r="K436" s="353"/>
      <c r="L436" s="353"/>
      <c r="M436" s="353">
        <f>F436</f>
        <v>5</v>
      </c>
      <c r="N436" s="405"/>
      <c r="O436" s="352"/>
    </row>
    <row r="437" spans="1:15">
      <c r="A437" s="354"/>
      <c r="B437" s="354"/>
      <c r="C437" s="355"/>
      <c r="D437" s="356"/>
      <c r="E437" s="362"/>
      <c r="F437" s="358"/>
      <c r="G437" s="359"/>
      <c r="H437" s="360"/>
      <c r="I437" s="360"/>
      <c r="J437" s="360"/>
      <c r="K437" s="360"/>
      <c r="L437" s="360"/>
      <c r="M437" s="360"/>
      <c r="N437" s="405"/>
      <c r="O437" s="352"/>
    </row>
    <row r="438" spans="1:15" ht="31.5">
      <c r="A438" s="339" t="s">
        <v>1529</v>
      </c>
      <c r="B438" s="339" t="s">
        <v>160</v>
      </c>
      <c r="C438" s="340" t="s">
        <v>440</v>
      </c>
      <c r="D438" s="446" t="s">
        <v>441</v>
      </c>
      <c r="E438" s="342" t="s">
        <v>167</v>
      </c>
      <c r="F438" s="343"/>
      <c r="G438" s="344"/>
      <c r="H438" s="345"/>
      <c r="I438" s="345"/>
      <c r="J438" s="345"/>
      <c r="K438" s="345"/>
      <c r="L438" s="345"/>
      <c r="M438" s="346">
        <f>SUM(M439:M440)</f>
        <v>20</v>
      </c>
      <c r="N438" s="408"/>
      <c r="O438" s="409"/>
    </row>
    <row r="439" spans="1:15">
      <c r="A439" s="347"/>
      <c r="B439" s="347"/>
      <c r="C439" s="348"/>
      <c r="D439" s="421" t="s">
        <v>1502</v>
      </c>
      <c r="E439" s="422"/>
      <c r="F439" s="423">
        <v>20</v>
      </c>
      <c r="G439" s="352"/>
      <c r="H439" s="353"/>
      <c r="I439" s="353"/>
      <c r="J439" s="353"/>
      <c r="K439" s="353"/>
      <c r="L439" s="353"/>
      <c r="M439" s="353">
        <f>F439</f>
        <v>20</v>
      </c>
      <c r="N439" s="405"/>
      <c r="O439" s="352"/>
    </row>
    <row r="440" spans="1:15">
      <c r="A440" s="354"/>
      <c r="B440" s="354"/>
      <c r="C440" s="355"/>
      <c r="D440" s="356"/>
      <c r="E440" s="362"/>
      <c r="F440" s="358"/>
      <c r="G440" s="359"/>
      <c r="H440" s="360"/>
      <c r="I440" s="360"/>
      <c r="J440" s="360"/>
      <c r="K440" s="360"/>
      <c r="L440" s="360"/>
      <c r="M440" s="360"/>
      <c r="N440" s="405"/>
      <c r="O440" s="352"/>
    </row>
    <row r="441" spans="1:15" ht="31.5">
      <c r="A441" s="339" t="s">
        <v>1530</v>
      </c>
      <c r="B441" s="339" t="s">
        <v>160</v>
      </c>
      <c r="C441" s="340" t="s">
        <v>431</v>
      </c>
      <c r="D441" s="446" t="s">
        <v>432</v>
      </c>
      <c r="E441" s="342" t="s">
        <v>180</v>
      </c>
      <c r="F441" s="343"/>
      <c r="G441" s="344"/>
      <c r="H441" s="345"/>
      <c r="I441" s="345"/>
      <c r="J441" s="345"/>
      <c r="K441" s="345"/>
      <c r="L441" s="345"/>
      <c r="M441" s="346">
        <f>SUM(M442:M443)</f>
        <v>5</v>
      </c>
      <c r="N441" s="408"/>
      <c r="O441" s="409"/>
    </row>
    <row r="442" spans="1:15">
      <c r="A442" s="347"/>
      <c r="B442" s="347"/>
      <c r="C442" s="348"/>
      <c r="D442" s="421" t="s">
        <v>1502</v>
      </c>
      <c r="E442" s="422"/>
      <c r="F442" s="423">
        <v>5</v>
      </c>
      <c r="G442" s="352"/>
      <c r="H442" s="353"/>
      <c r="I442" s="353"/>
      <c r="J442" s="353"/>
      <c r="K442" s="353"/>
      <c r="L442" s="353"/>
      <c r="M442" s="353">
        <f>F442</f>
        <v>5</v>
      </c>
      <c r="N442" s="405"/>
      <c r="O442" s="352"/>
    </row>
    <row r="443" spans="1:15">
      <c r="A443" s="354"/>
      <c r="B443" s="354"/>
      <c r="C443" s="355"/>
      <c r="D443" s="356"/>
      <c r="E443" s="362"/>
      <c r="F443" s="358"/>
      <c r="G443" s="359"/>
      <c r="H443" s="360"/>
      <c r="I443" s="360"/>
      <c r="J443" s="360"/>
      <c r="K443" s="360"/>
      <c r="L443" s="360"/>
      <c r="M443" s="360"/>
      <c r="N443" s="405"/>
      <c r="O443" s="352"/>
    </row>
    <row r="444" spans="1:15" ht="47.25">
      <c r="A444" s="339" t="s">
        <v>1531</v>
      </c>
      <c r="B444" s="339" t="s">
        <v>160</v>
      </c>
      <c r="C444" s="340" t="s">
        <v>428</v>
      </c>
      <c r="D444" s="446" t="s">
        <v>1532</v>
      </c>
      <c r="E444" s="342" t="s">
        <v>167</v>
      </c>
      <c r="F444" s="343"/>
      <c r="G444" s="344"/>
      <c r="H444" s="345"/>
      <c r="I444" s="345"/>
      <c r="J444" s="345"/>
      <c r="K444" s="345"/>
      <c r="L444" s="345"/>
      <c r="M444" s="346">
        <f>SUM(M445:M446)</f>
        <v>4</v>
      </c>
      <c r="N444" s="408"/>
      <c r="O444" s="409"/>
    </row>
    <row r="445" spans="1:15">
      <c r="A445" s="347"/>
      <c r="B445" s="347"/>
      <c r="C445" s="348"/>
      <c r="D445" s="421" t="s">
        <v>1502</v>
      </c>
      <c r="E445" s="422"/>
      <c r="F445" s="423">
        <v>4</v>
      </c>
      <c r="G445" s="352"/>
      <c r="H445" s="353"/>
      <c r="I445" s="353"/>
      <c r="J445" s="353"/>
      <c r="K445" s="353"/>
      <c r="L445" s="353"/>
      <c r="M445" s="353">
        <f>F445</f>
        <v>4</v>
      </c>
      <c r="N445" s="405"/>
      <c r="O445" s="352"/>
    </row>
    <row r="446" spans="1:15">
      <c r="A446" s="354"/>
      <c r="B446" s="354"/>
      <c r="C446" s="355"/>
      <c r="D446" s="356"/>
      <c r="E446" s="362"/>
      <c r="F446" s="358"/>
      <c r="G446" s="359"/>
      <c r="H446" s="360"/>
      <c r="I446" s="360"/>
      <c r="J446" s="360"/>
      <c r="K446" s="360"/>
      <c r="L446" s="360"/>
      <c r="M446" s="360"/>
      <c r="N446" s="405"/>
      <c r="O446" s="352"/>
    </row>
    <row r="447" spans="1:15" ht="31.5">
      <c r="A447" s="339" t="s">
        <v>1533</v>
      </c>
      <c r="B447" s="339" t="s">
        <v>160</v>
      </c>
      <c r="C447" s="340" t="s">
        <v>434</v>
      </c>
      <c r="D447" s="446" t="s">
        <v>1534</v>
      </c>
      <c r="E447" s="342" t="s">
        <v>167</v>
      </c>
      <c r="F447" s="343"/>
      <c r="G447" s="344"/>
      <c r="H447" s="345"/>
      <c r="I447" s="345"/>
      <c r="J447" s="345"/>
      <c r="K447" s="345"/>
      <c r="L447" s="345"/>
      <c r="M447" s="346">
        <f>SUM(M448:M449)</f>
        <v>4</v>
      </c>
      <c r="N447" s="408"/>
      <c r="O447" s="409"/>
    </row>
    <row r="448" spans="1:15">
      <c r="A448" s="347"/>
      <c r="B448" s="347"/>
      <c r="C448" s="348"/>
      <c r="D448" s="421" t="s">
        <v>1502</v>
      </c>
      <c r="E448" s="422"/>
      <c r="F448" s="423">
        <v>4</v>
      </c>
      <c r="G448" s="352"/>
      <c r="H448" s="353"/>
      <c r="I448" s="353"/>
      <c r="J448" s="353"/>
      <c r="K448" s="353"/>
      <c r="L448" s="353"/>
      <c r="M448" s="353">
        <f>F448</f>
        <v>4</v>
      </c>
      <c r="N448" s="405"/>
      <c r="O448" s="352"/>
    </row>
    <row r="449" spans="1:15">
      <c r="A449" s="354"/>
      <c r="B449" s="354"/>
      <c r="C449" s="355"/>
      <c r="D449" s="356"/>
      <c r="E449" s="362"/>
      <c r="F449" s="358"/>
      <c r="G449" s="359"/>
      <c r="H449" s="360"/>
      <c r="I449" s="360"/>
      <c r="J449" s="360"/>
      <c r="K449" s="360"/>
      <c r="L449" s="360"/>
      <c r="M449" s="360"/>
      <c r="N449" s="405"/>
      <c r="O449" s="352"/>
    </row>
    <row r="450" spans="1:15" ht="31.5">
      <c r="A450" s="339" t="s">
        <v>1535</v>
      </c>
      <c r="B450" s="339" t="s">
        <v>160</v>
      </c>
      <c r="C450" s="340" t="s">
        <v>437</v>
      </c>
      <c r="D450" s="446" t="s">
        <v>1536</v>
      </c>
      <c r="E450" s="342" t="s">
        <v>167</v>
      </c>
      <c r="F450" s="343"/>
      <c r="G450" s="344"/>
      <c r="H450" s="345"/>
      <c r="I450" s="345"/>
      <c r="J450" s="345"/>
      <c r="K450" s="345"/>
      <c r="L450" s="345"/>
      <c r="M450" s="346">
        <f>SUM(M451:M452)</f>
        <v>4</v>
      </c>
      <c r="N450" s="408"/>
      <c r="O450" s="409"/>
    </row>
    <row r="451" spans="1:15">
      <c r="A451" s="347"/>
      <c r="B451" s="347"/>
      <c r="C451" s="348"/>
      <c r="D451" s="421" t="s">
        <v>1502</v>
      </c>
      <c r="E451" s="422"/>
      <c r="F451" s="423">
        <v>4</v>
      </c>
      <c r="G451" s="352"/>
      <c r="H451" s="353"/>
      <c r="I451" s="353"/>
      <c r="J451" s="353"/>
      <c r="K451" s="353"/>
      <c r="L451" s="353"/>
      <c r="M451" s="353">
        <f>F451</f>
        <v>4</v>
      </c>
      <c r="N451" s="405"/>
      <c r="O451" s="352"/>
    </row>
    <row r="452" spans="1:15">
      <c r="A452" s="354"/>
      <c r="B452" s="354"/>
      <c r="C452" s="355"/>
      <c r="D452" s="356"/>
      <c r="E452" s="362"/>
      <c r="F452" s="358"/>
      <c r="G452" s="359"/>
      <c r="H452" s="360"/>
      <c r="I452" s="360"/>
      <c r="J452" s="360"/>
      <c r="K452" s="360"/>
      <c r="L452" s="360"/>
      <c r="M452" s="360"/>
      <c r="N452" s="405"/>
      <c r="O452" s="352"/>
    </row>
    <row r="453" spans="1:15" ht="31.5">
      <c r="A453" s="339" t="s">
        <v>1537</v>
      </c>
      <c r="B453" s="339" t="s">
        <v>160</v>
      </c>
      <c r="C453" s="340" t="s">
        <v>443</v>
      </c>
      <c r="D453" s="446" t="s">
        <v>444</v>
      </c>
      <c r="E453" s="342" t="s">
        <v>167</v>
      </c>
      <c r="F453" s="343"/>
      <c r="G453" s="344"/>
      <c r="H453" s="345"/>
      <c r="I453" s="345"/>
      <c r="J453" s="345"/>
      <c r="K453" s="345"/>
      <c r="L453" s="345"/>
      <c r="M453" s="346">
        <f>SUM(M454:M455)</f>
        <v>2</v>
      </c>
      <c r="N453" s="408"/>
      <c r="O453" s="409"/>
    </row>
    <row r="454" spans="1:15">
      <c r="A454" s="347"/>
      <c r="B454" s="347"/>
      <c r="C454" s="348"/>
      <c r="D454" s="421" t="s">
        <v>1502</v>
      </c>
      <c r="E454" s="422"/>
      <c r="F454" s="423">
        <v>2</v>
      </c>
      <c r="G454" s="352"/>
      <c r="H454" s="353"/>
      <c r="I454" s="353"/>
      <c r="J454" s="353"/>
      <c r="K454" s="353"/>
      <c r="L454" s="353"/>
      <c r="M454" s="353">
        <f>F454</f>
        <v>2</v>
      </c>
      <c r="N454" s="405"/>
      <c r="O454" s="352"/>
    </row>
    <row r="455" spans="1:15">
      <c r="A455" s="354"/>
      <c r="B455" s="354"/>
      <c r="C455" s="355"/>
      <c r="D455" s="356"/>
      <c r="E455" s="362"/>
      <c r="F455" s="358"/>
      <c r="G455" s="359"/>
      <c r="H455" s="360"/>
      <c r="I455" s="360"/>
      <c r="J455" s="360"/>
      <c r="K455" s="360"/>
      <c r="L455" s="360"/>
      <c r="M455" s="360"/>
      <c r="N455" s="405"/>
      <c r="O455" s="352"/>
    </row>
    <row r="456" spans="1:15" ht="31.5">
      <c r="A456" s="339" t="s">
        <v>1538</v>
      </c>
      <c r="B456" s="339" t="s">
        <v>160</v>
      </c>
      <c r="C456" s="340" t="s">
        <v>440</v>
      </c>
      <c r="D456" s="446" t="s">
        <v>1539</v>
      </c>
      <c r="E456" s="342" t="s">
        <v>167</v>
      </c>
      <c r="F456" s="343"/>
      <c r="G456" s="344"/>
      <c r="H456" s="345"/>
      <c r="I456" s="345"/>
      <c r="J456" s="345"/>
      <c r="K456" s="345"/>
      <c r="L456" s="345"/>
      <c r="M456" s="346">
        <f>SUM(M457:M458)</f>
        <v>8</v>
      </c>
      <c r="N456" s="408"/>
      <c r="O456" s="409"/>
    </row>
    <row r="457" spans="1:15">
      <c r="A457" s="347"/>
      <c r="B457" s="347"/>
      <c r="C457" s="348"/>
      <c r="D457" s="421" t="s">
        <v>1502</v>
      </c>
      <c r="E457" s="422"/>
      <c r="F457" s="423">
        <v>8</v>
      </c>
      <c r="G457" s="352"/>
      <c r="H457" s="353"/>
      <c r="I457" s="353"/>
      <c r="J457" s="353"/>
      <c r="K457" s="353"/>
      <c r="L457" s="353"/>
      <c r="M457" s="353">
        <f>F457</f>
        <v>8</v>
      </c>
      <c r="N457" s="405"/>
      <c r="O457" s="352"/>
    </row>
    <row r="458" spans="1:15">
      <c r="A458" s="354"/>
      <c r="B458" s="354"/>
      <c r="C458" s="355"/>
      <c r="D458" s="356"/>
      <c r="E458" s="362"/>
      <c r="F458" s="358"/>
      <c r="G458" s="359"/>
      <c r="H458" s="360"/>
      <c r="I458" s="360"/>
      <c r="J458" s="360"/>
      <c r="K458" s="360"/>
      <c r="L458" s="360"/>
      <c r="M458" s="360"/>
      <c r="N458" s="405"/>
      <c r="O458" s="352"/>
    </row>
    <row r="459" spans="1:15" ht="31.5">
      <c r="A459" s="339" t="s">
        <v>1540</v>
      </c>
      <c r="B459" s="339" t="s">
        <v>160</v>
      </c>
      <c r="C459" s="340" t="s">
        <v>431</v>
      </c>
      <c r="D459" s="446" t="s">
        <v>432</v>
      </c>
      <c r="E459" s="342" t="s">
        <v>180</v>
      </c>
      <c r="F459" s="343"/>
      <c r="G459" s="344"/>
      <c r="H459" s="345"/>
      <c r="I459" s="345"/>
      <c r="J459" s="345"/>
      <c r="K459" s="345"/>
      <c r="L459" s="345"/>
      <c r="M459" s="346">
        <f>SUM(M460:M461)</f>
        <v>2</v>
      </c>
      <c r="N459" s="408"/>
      <c r="O459" s="409"/>
    </row>
    <row r="460" spans="1:15">
      <c r="A460" s="347"/>
      <c r="B460" s="347"/>
      <c r="C460" s="348"/>
      <c r="D460" s="421" t="s">
        <v>1502</v>
      </c>
      <c r="E460" s="422"/>
      <c r="F460" s="423">
        <v>2</v>
      </c>
      <c r="G460" s="352"/>
      <c r="H460" s="353"/>
      <c r="I460" s="353"/>
      <c r="J460" s="353"/>
      <c r="K460" s="353"/>
      <c r="L460" s="353"/>
      <c r="M460" s="353">
        <f>F460</f>
        <v>2</v>
      </c>
      <c r="N460" s="405"/>
      <c r="O460" s="352"/>
    </row>
    <row r="461" spans="1:15">
      <c r="A461" s="354"/>
      <c r="B461" s="354"/>
      <c r="C461" s="355"/>
      <c r="D461" s="356"/>
      <c r="E461" s="362"/>
      <c r="F461" s="358"/>
      <c r="G461" s="359"/>
      <c r="H461" s="360"/>
      <c r="I461" s="360"/>
      <c r="J461" s="360"/>
      <c r="K461" s="360"/>
      <c r="L461" s="360"/>
      <c r="M461" s="360"/>
      <c r="N461" s="405"/>
      <c r="O461" s="352"/>
    </row>
    <row r="462" spans="1:15" ht="47.25">
      <c r="A462" s="339" t="s">
        <v>1541</v>
      </c>
      <c r="B462" s="339" t="s">
        <v>160</v>
      </c>
      <c r="C462" s="340" t="s">
        <v>428</v>
      </c>
      <c r="D462" s="446" t="s">
        <v>1542</v>
      </c>
      <c r="E462" s="342" t="s">
        <v>167</v>
      </c>
      <c r="F462" s="343"/>
      <c r="G462" s="344"/>
      <c r="H462" s="345"/>
      <c r="I462" s="345"/>
      <c r="J462" s="345"/>
      <c r="K462" s="345"/>
      <c r="L462" s="345"/>
      <c r="M462" s="346">
        <f>SUM(M463:M464)</f>
        <v>8</v>
      </c>
      <c r="N462" s="408"/>
      <c r="O462" s="409"/>
    </row>
    <row r="463" spans="1:15">
      <c r="A463" s="347"/>
      <c r="B463" s="347"/>
      <c r="C463" s="348"/>
      <c r="D463" s="421" t="s">
        <v>1502</v>
      </c>
      <c r="E463" s="422"/>
      <c r="F463" s="423">
        <v>8</v>
      </c>
      <c r="G463" s="352"/>
      <c r="H463" s="353"/>
      <c r="I463" s="353"/>
      <c r="J463" s="353"/>
      <c r="K463" s="353"/>
      <c r="L463" s="353"/>
      <c r="M463" s="353">
        <f>F463</f>
        <v>8</v>
      </c>
      <c r="N463" s="405"/>
      <c r="O463" s="352"/>
    </row>
    <row r="464" spans="1:15">
      <c r="A464" s="354"/>
      <c r="B464" s="354"/>
      <c r="C464" s="355"/>
      <c r="D464" s="356"/>
      <c r="E464" s="362"/>
      <c r="F464" s="358"/>
      <c r="G464" s="359"/>
      <c r="H464" s="360"/>
      <c r="I464" s="360"/>
      <c r="J464" s="360"/>
      <c r="K464" s="360"/>
      <c r="L464" s="360"/>
      <c r="M464" s="360"/>
      <c r="N464" s="405"/>
      <c r="O464" s="352"/>
    </row>
    <row r="465" spans="1:15" ht="31.5">
      <c r="A465" s="339" t="s">
        <v>1543</v>
      </c>
      <c r="B465" s="339" t="s">
        <v>160</v>
      </c>
      <c r="C465" s="340" t="s">
        <v>431</v>
      </c>
      <c r="D465" s="446" t="s">
        <v>432</v>
      </c>
      <c r="E465" s="342" t="s">
        <v>180</v>
      </c>
      <c r="F465" s="343"/>
      <c r="G465" s="344"/>
      <c r="H465" s="345"/>
      <c r="I465" s="345"/>
      <c r="J465" s="345"/>
      <c r="K465" s="345"/>
      <c r="L465" s="345"/>
      <c r="M465" s="346">
        <f>SUM(M466:M467)</f>
        <v>2</v>
      </c>
      <c r="N465" s="408"/>
      <c r="O465" s="409"/>
    </row>
    <row r="466" spans="1:15">
      <c r="A466" s="347"/>
      <c r="B466" s="347"/>
      <c r="C466" s="348"/>
      <c r="D466" s="421" t="s">
        <v>1502</v>
      </c>
      <c r="E466" s="422"/>
      <c r="F466" s="423">
        <v>2</v>
      </c>
      <c r="G466" s="352"/>
      <c r="H466" s="353"/>
      <c r="I466" s="353"/>
      <c r="J466" s="353"/>
      <c r="K466" s="353"/>
      <c r="L466" s="353"/>
      <c r="M466" s="353">
        <f>F466</f>
        <v>2</v>
      </c>
      <c r="N466" s="405"/>
      <c r="O466" s="352"/>
    </row>
    <row r="467" spans="1:15">
      <c r="A467" s="354"/>
      <c r="B467" s="354"/>
      <c r="C467" s="355"/>
      <c r="D467" s="356"/>
      <c r="E467" s="362"/>
      <c r="F467" s="358"/>
      <c r="G467" s="359"/>
      <c r="H467" s="360"/>
      <c r="I467" s="360"/>
      <c r="J467" s="360"/>
      <c r="K467" s="360"/>
      <c r="L467" s="360"/>
      <c r="M467" s="360"/>
      <c r="N467" s="405"/>
      <c r="O467" s="352"/>
    </row>
    <row r="468" spans="1:15" ht="31.5">
      <c r="A468" s="339" t="s">
        <v>1544</v>
      </c>
      <c r="B468" s="339" t="s">
        <v>160</v>
      </c>
      <c r="C468" s="340" t="s">
        <v>434</v>
      </c>
      <c r="D468" s="446" t="s">
        <v>1545</v>
      </c>
      <c r="E468" s="342" t="s">
        <v>167</v>
      </c>
      <c r="F468" s="343"/>
      <c r="G468" s="344"/>
      <c r="H468" s="345"/>
      <c r="I468" s="345"/>
      <c r="J468" s="345"/>
      <c r="K468" s="345"/>
      <c r="L468" s="345"/>
      <c r="M468" s="346">
        <f>SUM(M469:M470)</f>
        <v>8</v>
      </c>
      <c r="N468" s="408"/>
      <c r="O468" s="409"/>
    </row>
    <row r="469" spans="1:15">
      <c r="A469" s="347"/>
      <c r="B469" s="347"/>
      <c r="C469" s="348"/>
      <c r="D469" s="421" t="s">
        <v>1502</v>
      </c>
      <c r="E469" s="422"/>
      <c r="F469" s="423">
        <v>8</v>
      </c>
      <c r="G469" s="352"/>
      <c r="H469" s="353"/>
      <c r="I469" s="353"/>
      <c r="J469" s="353"/>
      <c r="K469" s="353"/>
      <c r="L469" s="353"/>
      <c r="M469" s="353">
        <f>F469</f>
        <v>8</v>
      </c>
      <c r="N469" s="405"/>
      <c r="O469" s="352"/>
    </row>
    <row r="470" spans="1:15">
      <c r="A470" s="354"/>
      <c r="B470" s="354"/>
      <c r="C470" s="355"/>
      <c r="D470" s="356"/>
      <c r="E470" s="362"/>
      <c r="F470" s="358"/>
      <c r="G470" s="359"/>
      <c r="H470" s="360"/>
      <c r="I470" s="360"/>
      <c r="J470" s="360"/>
      <c r="K470" s="360"/>
      <c r="L470" s="360"/>
      <c r="M470" s="360"/>
      <c r="N470" s="405"/>
      <c r="O470" s="352"/>
    </row>
    <row r="471" spans="1:15" ht="31.5">
      <c r="A471" s="339" t="s">
        <v>1546</v>
      </c>
      <c r="B471" s="339" t="s">
        <v>160</v>
      </c>
      <c r="C471" s="340" t="s">
        <v>437</v>
      </c>
      <c r="D471" s="446" t="s">
        <v>438</v>
      </c>
      <c r="E471" s="342" t="s">
        <v>167</v>
      </c>
      <c r="F471" s="343"/>
      <c r="G471" s="344"/>
      <c r="H471" s="345"/>
      <c r="I471" s="345"/>
      <c r="J471" s="345"/>
      <c r="K471" s="345"/>
      <c r="L471" s="345"/>
      <c r="M471" s="346">
        <f>SUM(M472:M473)</f>
        <v>8</v>
      </c>
      <c r="N471" s="408"/>
      <c r="O471" s="409"/>
    </row>
    <row r="472" spans="1:15">
      <c r="A472" s="347"/>
      <c r="B472" s="347"/>
      <c r="C472" s="348"/>
      <c r="D472" s="421" t="s">
        <v>1502</v>
      </c>
      <c r="E472" s="422"/>
      <c r="F472" s="423">
        <v>8</v>
      </c>
      <c r="G472" s="352"/>
      <c r="H472" s="353"/>
      <c r="I472" s="353"/>
      <c r="J472" s="353"/>
      <c r="K472" s="353"/>
      <c r="L472" s="353"/>
      <c r="M472" s="353">
        <f>F472</f>
        <v>8</v>
      </c>
      <c r="N472" s="405"/>
      <c r="O472" s="352"/>
    </row>
    <row r="473" spans="1:15">
      <c r="A473" s="354"/>
      <c r="B473" s="354"/>
      <c r="C473" s="355"/>
      <c r="D473" s="356"/>
      <c r="E473" s="362"/>
      <c r="F473" s="358"/>
      <c r="G473" s="359"/>
      <c r="H473" s="360"/>
      <c r="I473" s="360"/>
      <c r="J473" s="360"/>
      <c r="K473" s="360"/>
      <c r="L473" s="360"/>
      <c r="M473" s="360"/>
      <c r="N473" s="405"/>
      <c r="O473" s="352"/>
    </row>
    <row r="474" spans="1:15" ht="31.5">
      <c r="A474" s="339" t="s">
        <v>1547</v>
      </c>
      <c r="B474" s="339" t="s">
        <v>160</v>
      </c>
      <c r="C474" s="340" t="s">
        <v>440</v>
      </c>
      <c r="D474" s="446" t="s">
        <v>441</v>
      </c>
      <c r="E474" s="342" t="s">
        <v>167</v>
      </c>
      <c r="F474" s="343"/>
      <c r="G474" s="344"/>
      <c r="H474" s="345"/>
      <c r="I474" s="345"/>
      <c r="J474" s="345"/>
      <c r="K474" s="345"/>
      <c r="L474" s="345"/>
      <c r="M474" s="346">
        <f>SUM(M475:M476)</f>
        <v>16</v>
      </c>
      <c r="N474" s="408"/>
      <c r="O474" s="409"/>
    </row>
    <row r="475" spans="1:15">
      <c r="A475" s="347"/>
      <c r="B475" s="347"/>
      <c r="C475" s="348"/>
      <c r="D475" s="421" t="s">
        <v>1502</v>
      </c>
      <c r="E475" s="422"/>
      <c r="F475" s="423">
        <v>16</v>
      </c>
      <c r="G475" s="352"/>
      <c r="H475" s="353"/>
      <c r="I475" s="353"/>
      <c r="J475" s="353"/>
      <c r="K475" s="353"/>
      <c r="L475" s="353"/>
      <c r="M475" s="353">
        <f>F475</f>
        <v>16</v>
      </c>
      <c r="N475" s="405"/>
      <c r="O475" s="352"/>
    </row>
    <row r="476" spans="1:15">
      <c r="A476" s="354"/>
      <c r="B476" s="354"/>
      <c r="C476" s="355"/>
      <c r="D476" s="356"/>
      <c r="E476" s="362"/>
      <c r="F476" s="358"/>
      <c r="G476" s="359"/>
      <c r="H476" s="360"/>
      <c r="I476" s="360"/>
      <c r="J476" s="360"/>
      <c r="K476" s="360"/>
      <c r="L476" s="360"/>
      <c r="M476" s="360"/>
      <c r="N476" s="405"/>
      <c r="O476" s="352"/>
    </row>
    <row r="477" spans="1:15">
      <c r="A477" s="311" t="s">
        <v>1548</v>
      </c>
      <c r="B477" s="312"/>
      <c r="C477" s="313"/>
      <c r="D477" s="314" t="s">
        <v>78</v>
      </c>
      <c r="E477" s="327"/>
      <c r="F477" s="328"/>
      <c r="G477" s="329"/>
      <c r="H477" s="329"/>
      <c r="I477" s="329"/>
      <c r="J477" s="329"/>
      <c r="K477" s="329"/>
      <c r="L477" s="329"/>
      <c r="M477" s="330"/>
      <c r="N477" s="407"/>
      <c r="O477" s="330"/>
    </row>
    <row r="478" spans="1:15">
      <c r="A478" s="447" t="s">
        <v>1549</v>
      </c>
      <c r="B478" s="448"/>
      <c r="C478" s="449"/>
      <c r="D478" s="450" t="s">
        <v>446</v>
      </c>
      <c r="E478" s="451"/>
      <c r="F478" s="452"/>
      <c r="G478" s="453"/>
      <c r="H478" s="453"/>
      <c r="I478" s="453"/>
      <c r="J478" s="453"/>
      <c r="K478" s="453"/>
      <c r="L478" s="453"/>
      <c r="M478" s="454"/>
      <c r="N478" s="463"/>
      <c r="O478" s="454"/>
    </row>
    <row r="479" spans="1:15">
      <c r="A479" s="339" t="s">
        <v>1550</v>
      </c>
      <c r="B479" s="339" t="s">
        <v>160</v>
      </c>
      <c r="C479" s="340" t="s">
        <v>448</v>
      </c>
      <c r="D479" s="446" t="s">
        <v>1551</v>
      </c>
      <c r="E479" s="342" t="s">
        <v>180</v>
      </c>
      <c r="F479" s="343"/>
      <c r="G479" s="344"/>
      <c r="H479" s="345"/>
      <c r="I479" s="345"/>
      <c r="J479" s="345"/>
      <c r="K479" s="345"/>
      <c r="L479" s="345"/>
      <c r="M479" s="346">
        <f>SUM(M480:M481)</f>
        <v>3</v>
      </c>
      <c r="N479" s="408"/>
      <c r="O479" s="409"/>
    </row>
    <row r="480" spans="1:15">
      <c r="A480" s="347"/>
      <c r="B480" s="347"/>
      <c r="C480" s="348"/>
      <c r="D480" s="421" t="s">
        <v>1502</v>
      </c>
      <c r="E480" s="422"/>
      <c r="F480" s="423">
        <v>3</v>
      </c>
      <c r="G480" s="352"/>
      <c r="H480" s="353"/>
      <c r="I480" s="353"/>
      <c r="J480" s="353"/>
      <c r="K480" s="353"/>
      <c r="L480" s="353"/>
      <c r="M480" s="353">
        <f>F480</f>
        <v>3</v>
      </c>
      <c r="N480" s="405"/>
      <c r="O480" s="352"/>
    </row>
    <row r="481" spans="1:15">
      <c r="A481" s="354"/>
      <c r="B481" s="354"/>
      <c r="C481" s="355"/>
      <c r="D481" s="356"/>
      <c r="E481" s="362"/>
      <c r="F481" s="358"/>
      <c r="G481" s="359"/>
      <c r="H481" s="360"/>
      <c r="I481" s="360"/>
      <c r="J481" s="360"/>
      <c r="K481" s="360"/>
      <c r="L481" s="360"/>
      <c r="M481" s="360"/>
      <c r="N481" s="405"/>
      <c r="O481" s="352"/>
    </row>
    <row r="482" spans="1:15">
      <c r="A482" s="339" t="s">
        <v>1552</v>
      </c>
      <c r="B482" s="339" t="s">
        <v>160</v>
      </c>
      <c r="C482" s="340" t="s">
        <v>451</v>
      </c>
      <c r="D482" s="446" t="s">
        <v>1553</v>
      </c>
      <c r="E482" s="342" t="s">
        <v>180</v>
      </c>
      <c r="F482" s="343"/>
      <c r="G482" s="344"/>
      <c r="H482" s="345"/>
      <c r="I482" s="345"/>
      <c r="J482" s="345"/>
      <c r="K482" s="345"/>
      <c r="L482" s="345"/>
      <c r="M482" s="346">
        <f>SUM(M483:M484)</f>
        <v>40</v>
      </c>
      <c r="N482" s="408"/>
      <c r="O482" s="409"/>
    </row>
    <row r="483" spans="1:15">
      <c r="A483" s="347"/>
      <c r="B483" s="347"/>
      <c r="C483" s="348"/>
      <c r="D483" s="421" t="s">
        <v>1502</v>
      </c>
      <c r="E483" s="422"/>
      <c r="F483" s="423">
        <v>40</v>
      </c>
      <c r="G483" s="352"/>
      <c r="H483" s="353"/>
      <c r="I483" s="353"/>
      <c r="J483" s="353"/>
      <c r="K483" s="353"/>
      <c r="L483" s="353"/>
      <c r="M483" s="353">
        <f>F483</f>
        <v>40</v>
      </c>
      <c r="N483" s="405"/>
      <c r="O483" s="352"/>
    </row>
    <row r="484" spans="1:15">
      <c r="A484" s="354"/>
      <c r="B484" s="354"/>
      <c r="C484" s="355"/>
      <c r="D484" s="356"/>
      <c r="E484" s="362"/>
      <c r="F484" s="358"/>
      <c r="G484" s="359"/>
      <c r="H484" s="360"/>
      <c r="I484" s="360"/>
      <c r="J484" s="360"/>
      <c r="K484" s="360"/>
      <c r="L484" s="360"/>
      <c r="M484" s="360"/>
      <c r="N484" s="405"/>
      <c r="O484" s="352"/>
    </row>
    <row r="485" spans="1:15">
      <c r="A485" s="339" t="s">
        <v>1554</v>
      </c>
      <c r="B485" s="339" t="s">
        <v>160</v>
      </c>
      <c r="C485" s="340" t="s">
        <v>451</v>
      </c>
      <c r="D485" s="446" t="s">
        <v>1555</v>
      </c>
      <c r="E485" s="342" t="s">
        <v>180</v>
      </c>
      <c r="F485" s="343"/>
      <c r="G485" s="344"/>
      <c r="H485" s="345"/>
      <c r="I485" s="345"/>
      <c r="J485" s="345"/>
      <c r="K485" s="345"/>
      <c r="L485" s="345"/>
      <c r="M485" s="346">
        <f>SUM(M486:M487)</f>
        <v>14</v>
      </c>
      <c r="N485" s="408"/>
      <c r="O485" s="352"/>
    </row>
    <row r="486" spans="1:15">
      <c r="A486" s="347"/>
      <c r="B486" s="347"/>
      <c r="C486" s="348"/>
      <c r="D486" s="421" t="s">
        <v>1502</v>
      </c>
      <c r="E486" s="422"/>
      <c r="F486" s="423">
        <v>14</v>
      </c>
      <c r="G486" s="352"/>
      <c r="H486" s="353"/>
      <c r="I486" s="353"/>
      <c r="J486" s="353"/>
      <c r="K486" s="353"/>
      <c r="L486" s="353"/>
      <c r="M486" s="353">
        <f>F486</f>
        <v>14</v>
      </c>
      <c r="N486" s="405"/>
      <c r="O486" s="352"/>
    </row>
    <row r="487" spans="1:15">
      <c r="A487" s="354"/>
      <c r="B487" s="354"/>
      <c r="C487" s="355"/>
      <c r="D487" s="356"/>
      <c r="E487" s="362"/>
      <c r="F487" s="358"/>
      <c r="G487" s="359"/>
      <c r="H487" s="360"/>
      <c r="I487" s="360"/>
      <c r="J487" s="360"/>
      <c r="K487" s="360"/>
      <c r="L487" s="360"/>
      <c r="M487" s="360"/>
      <c r="N487" s="405"/>
      <c r="O487" s="352"/>
    </row>
    <row r="488" spans="1:15">
      <c r="A488" s="339" t="s">
        <v>1556</v>
      </c>
      <c r="B488" s="339" t="s">
        <v>160</v>
      </c>
      <c r="C488" s="340" t="s">
        <v>454</v>
      </c>
      <c r="D488" s="446" t="s">
        <v>1557</v>
      </c>
      <c r="E488" s="342" t="s">
        <v>180</v>
      </c>
      <c r="F488" s="343"/>
      <c r="G488" s="344"/>
      <c r="H488" s="345"/>
      <c r="I488" s="345"/>
      <c r="J488" s="345"/>
      <c r="K488" s="345"/>
      <c r="L488" s="345"/>
      <c r="M488" s="346">
        <f>SUM(M489:M490)</f>
        <v>70</v>
      </c>
      <c r="N488" s="408"/>
      <c r="O488" s="409"/>
    </row>
    <row r="489" spans="1:15">
      <c r="A489" s="347"/>
      <c r="B489" s="347"/>
      <c r="C489" s="348"/>
      <c r="D489" s="421" t="s">
        <v>1502</v>
      </c>
      <c r="E489" s="422"/>
      <c r="F489" s="423">
        <v>70</v>
      </c>
      <c r="G489" s="352"/>
      <c r="H489" s="353"/>
      <c r="I489" s="353"/>
      <c r="J489" s="353"/>
      <c r="K489" s="353"/>
      <c r="L489" s="353"/>
      <c r="M489" s="353">
        <f>F489</f>
        <v>70</v>
      </c>
      <c r="N489" s="405"/>
      <c r="O489" s="352"/>
    </row>
    <row r="490" spans="1:15">
      <c r="A490" s="354"/>
      <c r="B490" s="354"/>
      <c r="C490" s="355"/>
      <c r="D490" s="356"/>
      <c r="E490" s="362"/>
      <c r="F490" s="358"/>
      <c r="G490" s="359"/>
      <c r="H490" s="360"/>
      <c r="I490" s="360"/>
      <c r="J490" s="360"/>
      <c r="K490" s="360"/>
      <c r="L490" s="360"/>
      <c r="M490" s="360"/>
      <c r="N490" s="405"/>
      <c r="O490" s="352"/>
    </row>
    <row r="491" spans="1:15">
      <c r="A491" s="339" t="s">
        <v>1558</v>
      </c>
      <c r="B491" s="339" t="s">
        <v>160</v>
      </c>
      <c r="C491" s="340" t="s">
        <v>457</v>
      </c>
      <c r="D491" s="446" t="s">
        <v>1559</v>
      </c>
      <c r="E491" s="342" t="s">
        <v>180</v>
      </c>
      <c r="F491" s="343"/>
      <c r="G491" s="344"/>
      <c r="H491" s="345"/>
      <c r="I491" s="345"/>
      <c r="J491" s="345"/>
      <c r="K491" s="345"/>
      <c r="L491" s="345"/>
      <c r="M491" s="346">
        <f>SUM(M492:M493)</f>
        <v>10</v>
      </c>
      <c r="N491" s="408"/>
      <c r="O491" s="409"/>
    </row>
    <row r="492" spans="1:15">
      <c r="A492" s="347"/>
      <c r="B492" s="347"/>
      <c r="C492" s="348"/>
      <c r="D492" s="421" t="s">
        <v>1502</v>
      </c>
      <c r="E492" s="422"/>
      <c r="F492" s="423">
        <v>10</v>
      </c>
      <c r="G492" s="352"/>
      <c r="H492" s="353"/>
      <c r="I492" s="353"/>
      <c r="J492" s="353"/>
      <c r="K492" s="353"/>
      <c r="L492" s="353"/>
      <c r="M492" s="353">
        <f>F492</f>
        <v>10</v>
      </c>
      <c r="N492" s="405"/>
      <c r="O492" s="352"/>
    </row>
    <row r="493" spans="1:15">
      <c r="A493" s="354"/>
      <c r="B493" s="354"/>
      <c r="C493" s="355"/>
      <c r="D493" s="356"/>
      <c r="E493" s="362"/>
      <c r="F493" s="358"/>
      <c r="G493" s="359"/>
      <c r="H493" s="360"/>
      <c r="I493" s="360"/>
      <c r="J493" s="360"/>
      <c r="K493" s="360"/>
      <c r="L493" s="360"/>
      <c r="M493" s="360"/>
      <c r="N493" s="405"/>
      <c r="O493" s="352"/>
    </row>
    <row r="494" spans="1:15">
      <c r="A494" s="339" t="s">
        <v>1560</v>
      </c>
      <c r="B494" s="339" t="s">
        <v>160</v>
      </c>
      <c r="C494" s="340" t="s">
        <v>460</v>
      </c>
      <c r="D494" s="446" t="s">
        <v>1561</v>
      </c>
      <c r="E494" s="342" t="s">
        <v>180</v>
      </c>
      <c r="F494" s="343"/>
      <c r="G494" s="344"/>
      <c r="H494" s="345"/>
      <c r="I494" s="345"/>
      <c r="J494" s="345"/>
      <c r="K494" s="345"/>
      <c r="L494" s="345"/>
      <c r="M494" s="346">
        <f>SUM(M495:M496)</f>
        <v>47</v>
      </c>
      <c r="N494" s="408"/>
      <c r="O494" s="409"/>
    </row>
    <row r="495" spans="1:15">
      <c r="A495" s="347"/>
      <c r="B495" s="347"/>
      <c r="C495" s="348"/>
      <c r="D495" s="421" t="s">
        <v>1502</v>
      </c>
      <c r="E495" s="422"/>
      <c r="F495" s="423">
        <v>47</v>
      </c>
      <c r="G495" s="352"/>
      <c r="H495" s="353"/>
      <c r="I495" s="353"/>
      <c r="J495" s="353"/>
      <c r="K495" s="353"/>
      <c r="L495" s="353"/>
      <c r="M495" s="353">
        <f>F495</f>
        <v>47</v>
      </c>
      <c r="N495" s="405"/>
      <c r="O495" s="352"/>
    </row>
    <row r="496" spans="1:15">
      <c r="A496" s="354"/>
      <c r="B496" s="354"/>
      <c r="C496" s="355"/>
      <c r="D496" s="356"/>
      <c r="E496" s="362"/>
      <c r="F496" s="358"/>
      <c r="G496" s="359"/>
      <c r="H496" s="360"/>
      <c r="I496" s="360"/>
      <c r="J496" s="360"/>
      <c r="K496" s="360"/>
      <c r="L496" s="360"/>
      <c r="M496" s="360"/>
      <c r="N496" s="405"/>
      <c r="O496" s="352"/>
    </row>
    <row r="497" spans="1:15">
      <c r="A497" s="339" t="s">
        <v>1562</v>
      </c>
      <c r="B497" s="339" t="s">
        <v>160</v>
      </c>
      <c r="C497" s="340" t="s">
        <v>463</v>
      </c>
      <c r="D497" s="446" t="s">
        <v>1563</v>
      </c>
      <c r="E497" s="342" t="s">
        <v>180</v>
      </c>
      <c r="F497" s="343"/>
      <c r="G497" s="344"/>
      <c r="H497" s="345"/>
      <c r="I497" s="345"/>
      <c r="J497" s="345"/>
      <c r="K497" s="345"/>
      <c r="L497" s="345"/>
      <c r="M497" s="346">
        <f>SUM(M498:M499)</f>
        <v>36</v>
      </c>
      <c r="N497" s="408"/>
      <c r="O497" s="409"/>
    </row>
    <row r="498" spans="1:15">
      <c r="A498" s="347"/>
      <c r="B498" s="347"/>
      <c r="C498" s="348"/>
      <c r="D498" s="421" t="s">
        <v>1502</v>
      </c>
      <c r="E498" s="422"/>
      <c r="F498" s="423">
        <v>36</v>
      </c>
      <c r="G498" s="352"/>
      <c r="H498" s="353"/>
      <c r="I498" s="353"/>
      <c r="J498" s="353"/>
      <c r="K498" s="353"/>
      <c r="L498" s="353"/>
      <c r="M498" s="353">
        <f>F498</f>
        <v>36</v>
      </c>
      <c r="N498" s="405"/>
      <c r="O498" s="352"/>
    </row>
    <row r="499" spans="1:15">
      <c r="A499" s="354"/>
      <c r="B499" s="354"/>
      <c r="C499" s="355"/>
      <c r="D499" s="356"/>
      <c r="E499" s="362"/>
      <c r="F499" s="358"/>
      <c r="G499" s="359"/>
      <c r="H499" s="360"/>
      <c r="I499" s="360"/>
      <c r="J499" s="360"/>
      <c r="K499" s="360"/>
      <c r="L499" s="360"/>
      <c r="M499" s="360"/>
      <c r="N499" s="405"/>
      <c r="O499" s="352"/>
    </row>
    <row r="500" spans="1:15">
      <c r="A500" s="339" t="s">
        <v>1564</v>
      </c>
      <c r="B500" s="339" t="s">
        <v>160</v>
      </c>
      <c r="C500" s="340" t="s">
        <v>466</v>
      </c>
      <c r="D500" s="446" t="s">
        <v>1565</v>
      </c>
      <c r="E500" s="342" t="s">
        <v>180</v>
      </c>
      <c r="F500" s="343"/>
      <c r="G500" s="344"/>
      <c r="H500" s="345"/>
      <c r="I500" s="345"/>
      <c r="J500" s="345"/>
      <c r="K500" s="345"/>
      <c r="L500" s="345"/>
      <c r="M500" s="346">
        <f>SUM(M501:M502)</f>
        <v>7</v>
      </c>
      <c r="N500" s="408"/>
      <c r="O500" s="409"/>
    </row>
    <row r="501" spans="1:15">
      <c r="A501" s="347"/>
      <c r="B501" s="347"/>
      <c r="C501" s="348"/>
      <c r="D501" s="421" t="s">
        <v>1502</v>
      </c>
      <c r="E501" s="422"/>
      <c r="F501" s="423">
        <v>7</v>
      </c>
      <c r="G501" s="352"/>
      <c r="H501" s="353"/>
      <c r="I501" s="353"/>
      <c r="J501" s="353"/>
      <c r="K501" s="353"/>
      <c r="L501" s="353"/>
      <c r="M501" s="353">
        <f>F501</f>
        <v>7</v>
      </c>
      <c r="N501" s="405"/>
      <c r="O501" s="352"/>
    </row>
    <row r="502" spans="1:15">
      <c r="A502" s="354"/>
      <c r="B502" s="354"/>
      <c r="C502" s="355"/>
      <c r="D502" s="356"/>
      <c r="E502" s="362"/>
      <c r="F502" s="358"/>
      <c r="G502" s="359"/>
      <c r="H502" s="360"/>
      <c r="I502" s="360"/>
      <c r="J502" s="360"/>
      <c r="K502" s="360"/>
      <c r="L502" s="360"/>
      <c r="M502" s="360"/>
      <c r="N502" s="405"/>
      <c r="O502" s="352"/>
    </row>
    <row r="503" spans="1:15">
      <c r="A503" s="339" t="s">
        <v>1566</v>
      </c>
      <c r="B503" s="339" t="s">
        <v>160</v>
      </c>
      <c r="C503" s="340" t="s">
        <v>469</v>
      </c>
      <c r="D503" s="446" t="s">
        <v>1567</v>
      </c>
      <c r="E503" s="342" t="s">
        <v>180</v>
      </c>
      <c r="F503" s="343"/>
      <c r="G503" s="344"/>
      <c r="H503" s="345"/>
      <c r="I503" s="345"/>
      <c r="J503" s="345"/>
      <c r="K503" s="345"/>
      <c r="L503" s="345"/>
      <c r="M503" s="346">
        <f>SUM(M504:M505)</f>
        <v>10</v>
      </c>
      <c r="N503" s="408"/>
      <c r="O503" s="409"/>
    </row>
    <row r="504" spans="1:15">
      <c r="A504" s="347"/>
      <c r="B504" s="347"/>
      <c r="C504" s="348"/>
      <c r="D504" s="421" t="s">
        <v>1502</v>
      </c>
      <c r="E504" s="422"/>
      <c r="F504" s="423">
        <v>10</v>
      </c>
      <c r="G504" s="352"/>
      <c r="H504" s="353"/>
      <c r="I504" s="353"/>
      <c r="J504" s="353"/>
      <c r="K504" s="353"/>
      <c r="L504" s="353"/>
      <c r="M504" s="353">
        <f>F504</f>
        <v>10</v>
      </c>
      <c r="N504" s="405"/>
      <c r="O504" s="352"/>
    </row>
    <row r="505" spans="1:15">
      <c r="A505" s="354"/>
      <c r="B505" s="354"/>
      <c r="C505" s="355"/>
      <c r="D505" s="356"/>
      <c r="E505" s="362"/>
      <c r="F505" s="358"/>
      <c r="G505" s="359"/>
      <c r="H505" s="360"/>
      <c r="I505" s="360"/>
      <c r="J505" s="360"/>
      <c r="K505" s="360"/>
      <c r="L505" s="360"/>
      <c r="M505" s="360"/>
      <c r="N505" s="405"/>
      <c r="O505" s="352"/>
    </row>
    <row r="506" spans="1:15" ht="31.5">
      <c r="A506" s="339" t="s">
        <v>1566</v>
      </c>
      <c r="B506" s="339" t="s">
        <v>160</v>
      </c>
      <c r="C506" s="340" t="s">
        <v>1568</v>
      </c>
      <c r="D506" s="446" t="s">
        <v>1569</v>
      </c>
      <c r="E506" s="342" t="s">
        <v>180</v>
      </c>
      <c r="F506" s="343"/>
      <c r="G506" s="344"/>
      <c r="H506" s="345"/>
      <c r="I506" s="345"/>
      <c r="J506" s="345"/>
      <c r="K506" s="345"/>
      <c r="L506" s="345"/>
      <c r="M506" s="346">
        <f>SUM(M507:M508)</f>
        <v>3</v>
      </c>
      <c r="N506" s="408"/>
      <c r="O506" s="409"/>
    </row>
    <row r="507" spans="1:15">
      <c r="A507" s="347"/>
      <c r="B507" s="347"/>
      <c r="C507" s="348"/>
      <c r="D507" s="421" t="s">
        <v>1502</v>
      </c>
      <c r="E507" s="422"/>
      <c r="F507" s="423">
        <v>3</v>
      </c>
      <c r="G507" s="352"/>
      <c r="H507" s="353"/>
      <c r="I507" s="353"/>
      <c r="J507" s="353"/>
      <c r="K507" s="353"/>
      <c r="L507" s="353"/>
      <c r="M507" s="353">
        <f>F507</f>
        <v>3</v>
      </c>
      <c r="N507" s="405"/>
      <c r="O507" s="352"/>
    </row>
    <row r="508" spans="1:15">
      <c r="A508" s="354"/>
      <c r="B508" s="354"/>
      <c r="C508" s="355"/>
      <c r="D508" s="356"/>
      <c r="E508" s="362"/>
      <c r="F508" s="358"/>
      <c r="G508" s="359"/>
      <c r="H508" s="360"/>
      <c r="I508" s="360"/>
      <c r="J508" s="360"/>
      <c r="K508" s="360"/>
      <c r="L508" s="360"/>
      <c r="M508" s="360"/>
      <c r="N508" s="405"/>
      <c r="O508" s="352"/>
    </row>
    <row r="509" spans="1:15" ht="31.5">
      <c r="A509" s="339" t="s">
        <v>1570</v>
      </c>
      <c r="B509" s="339" t="s">
        <v>160</v>
      </c>
      <c r="C509" s="340" t="s">
        <v>1571</v>
      </c>
      <c r="D509" s="446" t="s">
        <v>1572</v>
      </c>
      <c r="E509" s="342" t="s">
        <v>180</v>
      </c>
      <c r="F509" s="343"/>
      <c r="G509" s="344"/>
      <c r="H509" s="345"/>
      <c r="I509" s="345"/>
      <c r="J509" s="345"/>
      <c r="K509" s="345"/>
      <c r="L509" s="345"/>
      <c r="M509" s="346">
        <f>SUM(M510:M511)</f>
        <v>40</v>
      </c>
      <c r="N509" s="408"/>
      <c r="O509" s="409"/>
    </row>
    <row r="510" spans="1:15">
      <c r="A510" s="347"/>
      <c r="B510" s="347"/>
      <c r="C510" s="348"/>
      <c r="D510" s="421" t="s">
        <v>1502</v>
      </c>
      <c r="E510" s="422"/>
      <c r="F510" s="423">
        <v>40</v>
      </c>
      <c r="G510" s="352"/>
      <c r="H510" s="353"/>
      <c r="I510" s="353"/>
      <c r="J510" s="353"/>
      <c r="K510" s="353"/>
      <c r="L510" s="353"/>
      <c r="M510" s="353">
        <f>F510</f>
        <v>40</v>
      </c>
      <c r="N510" s="405"/>
      <c r="O510" s="352"/>
    </row>
    <row r="511" spans="1:15">
      <c r="A511" s="354"/>
      <c r="B511" s="354"/>
      <c r="C511" s="355"/>
      <c r="D511" s="356"/>
      <c r="E511" s="362"/>
      <c r="F511" s="358"/>
      <c r="G511" s="359"/>
      <c r="H511" s="360"/>
      <c r="I511" s="360"/>
      <c r="J511" s="360"/>
      <c r="K511" s="360"/>
      <c r="L511" s="360"/>
      <c r="M511" s="360"/>
      <c r="N511" s="405"/>
      <c r="O511" s="352"/>
    </row>
    <row r="512" spans="1:15" ht="16.5" customHeight="1">
      <c r="A512" s="339" t="s">
        <v>1573</v>
      </c>
      <c r="B512" s="339" t="s">
        <v>160</v>
      </c>
      <c r="C512" s="340" t="s">
        <v>1574</v>
      </c>
      <c r="D512" s="446" t="s">
        <v>1575</v>
      </c>
      <c r="E512" s="342" t="s">
        <v>180</v>
      </c>
      <c r="F512" s="343"/>
      <c r="G512" s="344"/>
      <c r="H512" s="345"/>
      <c r="I512" s="345"/>
      <c r="J512" s="345"/>
      <c r="K512" s="345"/>
      <c r="L512" s="345"/>
      <c r="M512" s="346">
        <f>SUM(M513:M514)</f>
        <v>70</v>
      </c>
      <c r="N512" s="408"/>
      <c r="O512" s="409"/>
    </row>
    <row r="513" spans="1:15" ht="16.5" customHeight="1">
      <c r="A513" s="347"/>
      <c r="B513" s="347"/>
      <c r="C513" s="348"/>
      <c r="D513" s="421" t="s">
        <v>1502</v>
      </c>
      <c r="E513" s="422"/>
      <c r="F513" s="423">
        <v>70</v>
      </c>
      <c r="G513" s="352"/>
      <c r="H513" s="353"/>
      <c r="I513" s="353"/>
      <c r="J513" s="353"/>
      <c r="K513" s="353"/>
      <c r="L513" s="353"/>
      <c r="M513" s="353">
        <f>F513</f>
        <v>70</v>
      </c>
      <c r="N513" s="405"/>
      <c r="O513" s="352"/>
    </row>
    <row r="514" spans="1:15" ht="16.5" customHeight="1">
      <c r="A514" s="354"/>
      <c r="B514" s="354"/>
      <c r="C514" s="355"/>
      <c r="D514" s="356"/>
      <c r="E514" s="362"/>
      <c r="F514" s="358"/>
      <c r="G514" s="359"/>
      <c r="H514" s="360"/>
      <c r="I514" s="360"/>
      <c r="J514" s="360"/>
      <c r="K514" s="360"/>
      <c r="L514" s="360"/>
      <c r="M514" s="360"/>
      <c r="N514" s="405"/>
      <c r="O514" s="352"/>
    </row>
    <row r="515" spans="1:15" ht="31.5">
      <c r="A515" s="339" t="s">
        <v>1576</v>
      </c>
      <c r="B515" s="339" t="s">
        <v>160</v>
      </c>
      <c r="C515" s="340" t="s">
        <v>1577</v>
      </c>
      <c r="D515" s="446" t="s">
        <v>1578</v>
      </c>
      <c r="E515" s="342" t="s">
        <v>180</v>
      </c>
      <c r="F515" s="343"/>
      <c r="G515" s="344"/>
      <c r="H515" s="345"/>
      <c r="I515" s="345"/>
      <c r="J515" s="345"/>
      <c r="K515" s="345"/>
      <c r="L515" s="345"/>
      <c r="M515" s="346">
        <f>SUM(M516:M517)</f>
        <v>10</v>
      </c>
      <c r="N515" s="408"/>
      <c r="O515" s="409"/>
    </row>
    <row r="516" spans="1:15">
      <c r="A516" s="347"/>
      <c r="B516" s="347"/>
      <c r="C516" s="348"/>
      <c r="D516" s="421" t="s">
        <v>1502</v>
      </c>
      <c r="E516" s="422"/>
      <c r="F516" s="423">
        <v>10</v>
      </c>
      <c r="G516" s="352"/>
      <c r="H516" s="353"/>
      <c r="I516" s="353"/>
      <c r="J516" s="353"/>
      <c r="K516" s="353"/>
      <c r="L516" s="353"/>
      <c r="M516" s="353">
        <f>F516</f>
        <v>10</v>
      </c>
      <c r="N516" s="405"/>
      <c r="O516" s="352"/>
    </row>
    <row r="517" spans="1:15">
      <c r="A517" s="354"/>
      <c r="B517" s="354"/>
      <c r="C517" s="355"/>
      <c r="D517" s="356"/>
      <c r="E517" s="362"/>
      <c r="F517" s="358"/>
      <c r="G517" s="359"/>
      <c r="H517" s="360"/>
      <c r="I517" s="360"/>
      <c r="J517" s="360"/>
      <c r="K517" s="360"/>
      <c r="L517" s="360"/>
      <c r="M517" s="360"/>
      <c r="N517" s="405"/>
      <c r="O517" s="352"/>
    </row>
    <row r="518" spans="1:15" ht="31.5">
      <c r="A518" s="339" t="s">
        <v>1579</v>
      </c>
      <c r="B518" s="339" t="s">
        <v>160</v>
      </c>
      <c r="C518" s="340" t="s">
        <v>1580</v>
      </c>
      <c r="D518" s="446" t="s">
        <v>1581</v>
      </c>
      <c r="E518" s="342" t="s">
        <v>180</v>
      </c>
      <c r="F518" s="343"/>
      <c r="G518" s="344"/>
      <c r="H518" s="345"/>
      <c r="I518" s="345"/>
      <c r="J518" s="345"/>
      <c r="K518" s="345"/>
      <c r="L518" s="345"/>
      <c r="M518" s="346">
        <f>SUM(M519:M520)</f>
        <v>47</v>
      </c>
      <c r="N518" s="408"/>
      <c r="O518" s="409"/>
    </row>
    <row r="519" spans="1:15">
      <c r="A519" s="347"/>
      <c r="B519" s="347"/>
      <c r="C519" s="348"/>
      <c r="D519" s="421" t="s">
        <v>1502</v>
      </c>
      <c r="E519" s="422"/>
      <c r="F519" s="423">
        <v>47</v>
      </c>
      <c r="G519" s="352"/>
      <c r="H519" s="353"/>
      <c r="I519" s="353"/>
      <c r="J519" s="353"/>
      <c r="K519" s="353"/>
      <c r="L519" s="353"/>
      <c r="M519" s="353">
        <f>F519</f>
        <v>47</v>
      </c>
      <c r="N519" s="405"/>
      <c r="O519" s="352"/>
    </row>
    <row r="520" spans="1:15">
      <c r="A520" s="354"/>
      <c r="B520" s="354"/>
      <c r="C520" s="355"/>
      <c r="D520" s="356"/>
      <c r="E520" s="362"/>
      <c r="F520" s="358"/>
      <c r="G520" s="359"/>
      <c r="H520" s="360"/>
      <c r="I520" s="360"/>
      <c r="J520" s="360"/>
      <c r="K520" s="360"/>
      <c r="L520" s="360"/>
      <c r="M520" s="360"/>
      <c r="N520" s="405"/>
      <c r="O520" s="352"/>
    </row>
    <row r="521" spans="1:15" ht="31.5">
      <c r="A521" s="339" t="s">
        <v>1582</v>
      </c>
      <c r="B521" s="339" t="s">
        <v>160</v>
      </c>
      <c r="C521" s="340" t="s">
        <v>1583</v>
      </c>
      <c r="D521" s="446" t="s">
        <v>1584</v>
      </c>
      <c r="E521" s="342" t="s">
        <v>180</v>
      </c>
      <c r="F521" s="343"/>
      <c r="G521" s="344"/>
      <c r="H521" s="345"/>
      <c r="I521" s="345"/>
      <c r="J521" s="345"/>
      <c r="K521" s="345"/>
      <c r="L521" s="345"/>
      <c r="M521" s="346">
        <f>SUM(M522:M523)</f>
        <v>36</v>
      </c>
      <c r="N521" s="408"/>
      <c r="O521" s="409"/>
    </row>
    <row r="522" spans="1:15">
      <c r="A522" s="347"/>
      <c r="B522" s="347"/>
      <c r="C522" s="348"/>
      <c r="D522" s="421" t="s">
        <v>1502</v>
      </c>
      <c r="E522" s="422"/>
      <c r="F522" s="423">
        <v>36</v>
      </c>
      <c r="G522" s="352"/>
      <c r="H522" s="353"/>
      <c r="I522" s="353"/>
      <c r="J522" s="353"/>
      <c r="K522" s="353"/>
      <c r="L522" s="353"/>
      <c r="M522" s="353">
        <f>F522</f>
        <v>36</v>
      </c>
      <c r="N522" s="405"/>
      <c r="O522" s="352"/>
    </row>
    <row r="523" spans="1:15">
      <c r="A523" s="354"/>
      <c r="B523" s="354"/>
      <c r="C523" s="355"/>
      <c r="D523" s="356"/>
      <c r="E523" s="362"/>
      <c r="F523" s="358"/>
      <c r="G523" s="359"/>
      <c r="H523" s="360"/>
      <c r="I523" s="360"/>
      <c r="J523" s="360"/>
      <c r="K523" s="360"/>
      <c r="L523" s="360"/>
      <c r="M523" s="360"/>
      <c r="N523" s="405"/>
      <c r="O523" s="352"/>
    </row>
    <row r="524" spans="1:15" ht="31.5">
      <c r="A524" s="339" t="s">
        <v>1585</v>
      </c>
      <c r="B524" s="339" t="s">
        <v>160</v>
      </c>
      <c r="C524" s="340" t="s">
        <v>1586</v>
      </c>
      <c r="D524" s="446" t="s">
        <v>1587</v>
      </c>
      <c r="E524" s="342" t="s">
        <v>180</v>
      </c>
      <c r="F524" s="343"/>
      <c r="G524" s="344"/>
      <c r="H524" s="345"/>
      <c r="I524" s="345"/>
      <c r="J524" s="345"/>
      <c r="K524" s="345"/>
      <c r="L524" s="345"/>
      <c r="M524" s="346">
        <f>SUM(M525:M526)</f>
        <v>7</v>
      </c>
      <c r="N524" s="408"/>
      <c r="O524" s="409"/>
    </row>
    <row r="525" spans="1:15">
      <c r="A525" s="347"/>
      <c r="B525" s="347"/>
      <c r="C525" s="348"/>
      <c r="D525" s="421" t="s">
        <v>1502</v>
      </c>
      <c r="E525" s="422"/>
      <c r="F525" s="423">
        <v>7</v>
      </c>
      <c r="G525" s="352"/>
      <c r="H525" s="353"/>
      <c r="I525" s="353"/>
      <c r="J525" s="353"/>
      <c r="K525" s="353"/>
      <c r="L525" s="353"/>
      <c r="M525" s="353">
        <f>F525</f>
        <v>7</v>
      </c>
      <c r="N525" s="405"/>
      <c r="O525" s="352"/>
    </row>
    <row r="526" spans="1:15">
      <c r="A526" s="354"/>
      <c r="B526" s="354"/>
      <c r="C526" s="355"/>
      <c r="D526" s="356"/>
      <c r="E526" s="362"/>
      <c r="F526" s="358"/>
      <c r="G526" s="359"/>
      <c r="H526" s="360"/>
      <c r="I526" s="360"/>
      <c r="J526" s="360"/>
      <c r="K526" s="360"/>
      <c r="L526" s="360"/>
      <c r="M526" s="360"/>
      <c r="N526" s="405"/>
      <c r="O526" s="352"/>
    </row>
    <row r="527" spans="1:15" ht="31.5">
      <c r="A527" s="339" t="s">
        <v>1588</v>
      </c>
      <c r="B527" s="339" t="s">
        <v>160</v>
      </c>
      <c r="C527" s="340" t="s">
        <v>1589</v>
      </c>
      <c r="D527" s="446" t="s">
        <v>1590</v>
      </c>
      <c r="E527" s="342" t="s">
        <v>180</v>
      </c>
      <c r="F527" s="343"/>
      <c r="G527" s="344"/>
      <c r="H527" s="345"/>
      <c r="I527" s="345"/>
      <c r="J527" s="345"/>
      <c r="K527" s="345"/>
      <c r="L527" s="345"/>
      <c r="M527" s="346">
        <f>SUM(M528:M529)</f>
        <v>10</v>
      </c>
      <c r="N527" s="408"/>
      <c r="O527" s="409"/>
    </row>
    <row r="528" spans="1:15">
      <c r="A528" s="347"/>
      <c r="B528" s="347"/>
      <c r="C528" s="348"/>
      <c r="D528" s="421" t="s">
        <v>1502</v>
      </c>
      <c r="E528" s="422"/>
      <c r="F528" s="423">
        <v>10</v>
      </c>
      <c r="G528" s="352"/>
      <c r="H528" s="353"/>
      <c r="I528" s="353"/>
      <c r="J528" s="353"/>
      <c r="K528" s="353"/>
      <c r="L528" s="353"/>
      <c r="M528" s="353">
        <f>F528</f>
        <v>10</v>
      </c>
      <c r="N528" s="405"/>
      <c r="O528" s="352"/>
    </row>
    <row r="529" spans="1:15">
      <c r="A529" s="354"/>
      <c r="B529" s="354"/>
      <c r="C529" s="355"/>
      <c r="D529" s="356"/>
      <c r="E529" s="362"/>
      <c r="F529" s="358"/>
      <c r="G529" s="359"/>
      <c r="H529" s="360"/>
      <c r="I529" s="360"/>
      <c r="J529" s="360"/>
      <c r="K529" s="360"/>
      <c r="L529" s="360"/>
      <c r="M529" s="360"/>
      <c r="N529" s="405"/>
      <c r="O529" s="352"/>
    </row>
    <row r="530" spans="1:15">
      <c r="A530" s="447" t="s">
        <v>1591</v>
      </c>
      <c r="B530" s="448"/>
      <c r="C530" s="449"/>
      <c r="D530" s="450" t="s">
        <v>475</v>
      </c>
      <c r="E530" s="451"/>
      <c r="F530" s="452"/>
      <c r="G530" s="453"/>
      <c r="H530" s="453"/>
      <c r="I530" s="453"/>
      <c r="J530" s="453"/>
      <c r="K530" s="453"/>
      <c r="L530" s="453"/>
      <c r="M530" s="454"/>
      <c r="N530" s="463"/>
      <c r="O530" s="454"/>
    </row>
    <row r="531" spans="1:15" ht="31.5">
      <c r="A531" s="339" t="s">
        <v>1592</v>
      </c>
      <c r="B531" s="339" t="s">
        <v>160</v>
      </c>
      <c r="C531" s="340" t="s">
        <v>477</v>
      </c>
      <c r="D531" s="446" t="s">
        <v>478</v>
      </c>
      <c r="E531" s="342" t="s">
        <v>167</v>
      </c>
      <c r="F531" s="343"/>
      <c r="G531" s="344"/>
      <c r="H531" s="345"/>
      <c r="I531" s="345"/>
      <c r="J531" s="345"/>
      <c r="K531" s="345"/>
      <c r="L531" s="345"/>
      <c r="M531" s="346">
        <f>SUM(M532:M533)</f>
        <v>2</v>
      </c>
      <c r="N531" s="408"/>
      <c r="O531" s="409"/>
    </row>
    <row r="532" spans="1:15">
      <c r="A532" s="347"/>
      <c r="B532" s="347"/>
      <c r="C532" s="348"/>
      <c r="D532" s="421" t="s">
        <v>1502</v>
      </c>
      <c r="E532" s="422"/>
      <c r="F532" s="423">
        <v>2</v>
      </c>
      <c r="G532" s="352"/>
      <c r="H532" s="353"/>
      <c r="I532" s="353"/>
      <c r="J532" s="353"/>
      <c r="K532" s="353"/>
      <c r="L532" s="353"/>
      <c r="M532" s="353">
        <f>F532</f>
        <v>2</v>
      </c>
      <c r="N532" s="405"/>
      <c r="O532" s="352"/>
    </row>
    <row r="533" spans="1:15">
      <c r="A533" s="354"/>
      <c r="B533" s="354"/>
      <c r="C533" s="355"/>
      <c r="D533" s="356"/>
      <c r="E533" s="362"/>
      <c r="F533" s="358"/>
      <c r="G533" s="359"/>
      <c r="H533" s="360"/>
      <c r="I533" s="360"/>
      <c r="J533" s="360"/>
      <c r="K533" s="360"/>
      <c r="L533" s="360"/>
      <c r="M533" s="360"/>
      <c r="N533" s="405"/>
      <c r="O533" s="352"/>
    </row>
    <row r="534" spans="1:15" ht="31.5">
      <c r="A534" s="339" t="s">
        <v>1593</v>
      </c>
      <c r="B534" s="339" t="s">
        <v>160</v>
      </c>
      <c r="C534" s="340" t="s">
        <v>480</v>
      </c>
      <c r="D534" s="446" t="s">
        <v>481</v>
      </c>
      <c r="E534" s="342" t="s">
        <v>167</v>
      </c>
      <c r="F534" s="343"/>
      <c r="G534" s="344"/>
      <c r="H534" s="345"/>
      <c r="I534" s="345"/>
      <c r="J534" s="345"/>
      <c r="K534" s="345"/>
      <c r="L534" s="345"/>
      <c r="M534" s="346">
        <f>SUM(M535:M536)</f>
        <v>3</v>
      </c>
      <c r="N534" s="408"/>
      <c r="O534" s="409"/>
    </row>
    <row r="535" spans="1:15">
      <c r="A535" s="347"/>
      <c r="B535" s="347"/>
      <c r="C535" s="348"/>
      <c r="D535" s="421" t="s">
        <v>1502</v>
      </c>
      <c r="E535" s="422"/>
      <c r="F535" s="423">
        <v>3</v>
      </c>
      <c r="G535" s="352"/>
      <c r="H535" s="353"/>
      <c r="I535" s="353"/>
      <c r="J535" s="353"/>
      <c r="K535" s="353"/>
      <c r="L535" s="353"/>
      <c r="M535" s="353">
        <f>F535</f>
        <v>3</v>
      </c>
      <c r="N535" s="405"/>
      <c r="O535" s="352"/>
    </row>
    <row r="536" spans="1:15">
      <c r="A536" s="354"/>
      <c r="B536" s="354"/>
      <c r="C536" s="355"/>
      <c r="D536" s="356"/>
      <c r="E536" s="362"/>
      <c r="F536" s="358"/>
      <c r="G536" s="359"/>
      <c r="H536" s="360"/>
      <c r="I536" s="360"/>
      <c r="J536" s="360"/>
      <c r="K536" s="360"/>
      <c r="L536" s="360"/>
      <c r="M536" s="360"/>
      <c r="N536" s="405"/>
      <c r="O536" s="352"/>
    </row>
    <row r="537" spans="1:15" ht="31.5">
      <c r="A537" s="339" t="s">
        <v>1594</v>
      </c>
      <c r="B537" s="339" t="s">
        <v>160</v>
      </c>
      <c r="C537" s="340" t="s">
        <v>483</v>
      </c>
      <c r="D537" s="446" t="s">
        <v>484</v>
      </c>
      <c r="E537" s="342" t="s">
        <v>167</v>
      </c>
      <c r="F537" s="343"/>
      <c r="G537" s="344"/>
      <c r="H537" s="345"/>
      <c r="I537" s="345"/>
      <c r="J537" s="345"/>
      <c r="K537" s="345"/>
      <c r="L537" s="345"/>
      <c r="M537" s="346">
        <f>SUM(M538:M539)</f>
        <v>2</v>
      </c>
      <c r="N537" s="408"/>
      <c r="O537" s="409"/>
    </row>
    <row r="538" spans="1:15">
      <c r="A538" s="347"/>
      <c r="B538" s="347"/>
      <c r="C538" s="348"/>
      <c r="D538" s="421" t="s">
        <v>1502</v>
      </c>
      <c r="E538" s="422"/>
      <c r="F538" s="423">
        <v>2</v>
      </c>
      <c r="G538" s="352"/>
      <c r="H538" s="353"/>
      <c r="I538" s="353"/>
      <c r="J538" s="353"/>
      <c r="K538" s="353"/>
      <c r="L538" s="353"/>
      <c r="M538" s="353">
        <f>F538</f>
        <v>2</v>
      </c>
      <c r="N538" s="405"/>
      <c r="O538" s="352"/>
    </row>
    <row r="539" spans="1:15">
      <c r="A539" s="354"/>
      <c r="B539" s="354"/>
      <c r="C539" s="355"/>
      <c r="D539" s="356"/>
      <c r="E539" s="362"/>
      <c r="F539" s="358"/>
      <c r="G539" s="359"/>
      <c r="H539" s="360"/>
      <c r="I539" s="360"/>
      <c r="J539" s="360"/>
      <c r="K539" s="360"/>
      <c r="L539" s="360"/>
      <c r="M539" s="360"/>
      <c r="N539" s="405"/>
      <c r="O539" s="352"/>
    </row>
    <row r="540" spans="1:15" ht="31.5">
      <c r="A540" s="339" t="s">
        <v>1595</v>
      </c>
      <c r="B540" s="339" t="s">
        <v>160</v>
      </c>
      <c r="C540" s="340" t="s">
        <v>486</v>
      </c>
      <c r="D540" s="446" t="s">
        <v>487</v>
      </c>
      <c r="E540" s="342" t="s">
        <v>167</v>
      </c>
      <c r="F540" s="343"/>
      <c r="G540" s="344"/>
      <c r="H540" s="345"/>
      <c r="I540" s="345"/>
      <c r="J540" s="345"/>
      <c r="K540" s="345"/>
      <c r="L540" s="345"/>
      <c r="M540" s="346">
        <f>SUM(M541:M542)</f>
        <v>2</v>
      </c>
      <c r="N540" s="408"/>
      <c r="O540" s="409"/>
    </row>
    <row r="541" spans="1:15">
      <c r="A541" s="347"/>
      <c r="B541" s="347"/>
      <c r="C541" s="348"/>
      <c r="D541" s="421" t="s">
        <v>1502</v>
      </c>
      <c r="E541" s="422"/>
      <c r="F541" s="423">
        <v>2</v>
      </c>
      <c r="G541" s="352"/>
      <c r="H541" s="353"/>
      <c r="I541" s="353"/>
      <c r="J541" s="353"/>
      <c r="K541" s="353"/>
      <c r="L541" s="353"/>
      <c r="M541" s="353">
        <f>F541</f>
        <v>2</v>
      </c>
      <c r="N541" s="405"/>
      <c r="O541" s="352"/>
    </row>
    <row r="542" spans="1:15">
      <c r="A542" s="354"/>
      <c r="B542" s="354"/>
      <c r="C542" s="355"/>
      <c r="D542" s="356"/>
      <c r="E542" s="362"/>
      <c r="F542" s="358"/>
      <c r="G542" s="359"/>
      <c r="H542" s="360"/>
      <c r="I542" s="360"/>
      <c r="J542" s="360"/>
      <c r="K542" s="360"/>
      <c r="L542" s="360"/>
      <c r="M542" s="360"/>
      <c r="N542" s="405"/>
      <c r="O542" s="352"/>
    </row>
    <row r="543" spans="1:15" ht="31.5">
      <c r="A543" s="339" t="s">
        <v>1596</v>
      </c>
      <c r="B543" s="339" t="s">
        <v>160</v>
      </c>
      <c r="C543" s="340" t="s">
        <v>489</v>
      </c>
      <c r="D543" s="446" t="s">
        <v>490</v>
      </c>
      <c r="E543" s="342" t="s">
        <v>167</v>
      </c>
      <c r="F543" s="343"/>
      <c r="G543" s="344"/>
      <c r="H543" s="345"/>
      <c r="I543" s="345"/>
      <c r="J543" s="345"/>
      <c r="K543" s="345"/>
      <c r="L543" s="345"/>
      <c r="M543" s="346">
        <f>SUM(M544:M545)</f>
        <v>3</v>
      </c>
      <c r="N543" s="408"/>
      <c r="O543" s="409"/>
    </row>
    <row r="544" spans="1:15">
      <c r="A544" s="347"/>
      <c r="B544" s="347"/>
      <c r="C544" s="348"/>
      <c r="D544" s="421" t="s">
        <v>1502</v>
      </c>
      <c r="E544" s="422"/>
      <c r="F544" s="423">
        <v>3</v>
      </c>
      <c r="G544" s="352"/>
      <c r="H544" s="353"/>
      <c r="I544" s="353"/>
      <c r="J544" s="353"/>
      <c r="K544" s="353"/>
      <c r="L544" s="353"/>
      <c r="M544" s="353">
        <f>F544</f>
        <v>3</v>
      </c>
      <c r="N544" s="405"/>
      <c r="O544" s="352"/>
    </row>
    <row r="545" spans="1:15">
      <c r="A545" s="354"/>
      <c r="B545" s="354"/>
      <c r="C545" s="355"/>
      <c r="D545" s="356"/>
      <c r="E545" s="362"/>
      <c r="F545" s="358"/>
      <c r="G545" s="359"/>
      <c r="H545" s="360"/>
      <c r="I545" s="360"/>
      <c r="J545" s="360"/>
      <c r="K545" s="360"/>
      <c r="L545" s="360"/>
      <c r="M545" s="360"/>
      <c r="N545" s="405"/>
      <c r="O545" s="352"/>
    </row>
    <row r="546" spans="1:15" ht="31.5">
      <c r="A546" s="339" t="s">
        <v>1597</v>
      </c>
      <c r="B546" s="339" t="s">
        <v>160</v>
      </c>
      <c r="C546" s="340" t="s">
        <v>492</v>
      </c>
      <c r="D546" s="446" t="s">
        <v>493</v>
      </c>
      <c r="E546" s="342" t="s">
        <v>167</v>
      </c>
      <c r="F546" s="343"/>
      <c r="G546" s="344"/>
      <c r="H546" s="345"/>
      <c r="I546" s="345"/>
      <c r="J546" s="345"/>
      <c r="K546" s="345"/>
      <c r="L546" s="345"/>
      <c r="M546" s="346">
        <f>SUM(M547:M548)</f>
        <v>2</v>
      </c>
      <c r="N546" s="408"/>
      <c r="O546" s="409"/>
    </row>
    <row r="547" spans="1:15">
      <c r="A547" s="347"/>
      <c r="B547" s="347"/>
      <c r="C547" s="348"/>
      <c r="D547" s="421" t="s">
        <v>1502</v>
      </c>
      <c r="E547" s="422"/>
      <c r="F547" s="423">
        <v>2</v>
      </c>
      <c r="G547" s="352"/>
      <c r="H547" s="353"/>
      <c r="I547" s="353"/>
      <c r="J547" s="353"/>
      <c r="K547" s="353"/>
      <c r="L547" s="353"/>
      <c r="M547" s="353">
        <f>F547</f>
        <v>2</v>
      </c>
      <c r="N547" s="405"/>
      <c r="O547" s="352"/>
    </row>
    <row r="548" spans="1:15">
      <c r="A548" s="354"/>
      <c r="B548" s="354"/>
      <c r="C548" s="355"/>
      <c r="D548" s="356"/>
      <c r="E548" s="362"/>
      <c r="F548" s="358"/>
      <c r="G548" s="359"/>
      <c r="H548" s="360"/>
      <c r="I548" s="360"/>
      <c r="J548" s="360"/>
      <c r="K548" s="360"/>
      <c r="L548" s="360"/>
      <c r="M548" s="360"/>
      <c r="N548" s="405"/>
      <c r="O548" s="352"/>
    </row>
    <row r="549" spans="1:15" ht="31.5">
      <c r="A549" s="339" t="s">
        <v>1598</v>
      </c>
      <c r="B549" s="339" t="s">
        <v>160</v>
      </c>
      <c r="C549" s="340" t="s">
        <v>495</v>
      </c>
      <c r="D549" s="446" t="s">
        <v>496</v>
      </c>
      <c r="E549" s="342" t="s">
        <v>167</v>
      </c>
      <c r="F549" s="343"/>
      <c r="G549" s="344"/>
      <c r="H549" s="345"/>
      <c r="I549" s="345"/>
      <c r="J549" s="345"/>
      <c r="K549" s="345"/>
      <c r="L549" s="345"/>
      <c r="M549" s="346">
        <f>SUM(M550:M551)</f>
        <v>7</v>
      </c>
      <c r="N549" s="408"/>
      <c r="O549" s="409"/>
    </row>
    <row r="550" spans="1:15">
      <c r="A550" s="347"/>
      <c r="B550" s="347"/>
      <c r="C550" s="348"/>
      <c r="D550" s="421" t="s">
        <v>1502</v>
      </c>
      <c r="E550" s="422"/>
      <c r="F550" s="423">
        <v>7</v>
      </c>
      <c r="G550" s="352"/>
      <c r="H550" s="353"/>
      <c r="I550" s="353"/>
      <c r="J550" s="353"/>
      <c r="K550" s="353"/>
      <c r="L550" s="353"/>
      <c r="M550" s="353">
        <f>F550</f>
        <v>7</v>
      </c>
      <c r="N550" s="405"/>
      <c r="O550" s="352"/>
    </row>
    <row r="551" spans="1:15">
      <c r="A551" s="354"/>
      <c r="B551" s="354"/>
      <c r="C551" s="355"/>
      <c r="D551" s="356"/>
      <c r="E551" s="362"/>
      <c r="F551" s="358"/>
      <c r="G551" s="359"/>
      <c r="H551" s="360"/>
      <c r="I551" s="360"/>
      <c r="J551" s="360"/>
      <c r="K551" s="360"/>
      <c r="L551" s="360"/>
      <c r="M551" s="360"/>
      <c r="N551" s="405"/>
      <c r="O551" s="352"/>
    </row>
    <row r="552" spans="1:15" ht="31.5">
      <c r="A552" s="339" t="s">
        <v>1599</v>
      </c>
      <c r="B552" s="339" t="s">
        <v>160</v>
      </c>
      <c r="C552" s="340" t="s">
        <v>498</v>
      </c>
      <c r="D552" s="446" t="s">
        <v>499</v>
      </c>
      <c r="E552" s="342" t="s">
        <v>167</v>
      </c>
      <c r="F552" s="343"/>
      <c r="G552" s="344"/>
      <c r="H552" s="345"/>
      <c r="I552" s="345"/>
      <c r="J552" s="345"/>
      <c r="K552" s="345"/>
      <c r="L552" s="345"/>
      <c r="M552" s="346">
        <f>SUM(M553:M554)</f>
        <v>4</v>
      </c>
      <c r="N552" s="408"/>
      <c r="O552" s="409"/>
    </row>
    <row r="553" spans="1:15">
      <c r="A553" s="347"/>
      <c r="B553" s="347"/>
      <c r="C553" s="348"/>
      <c r="D553" s="421" t="s">
        <v>1502</v>
      </c>
      <c r="E553" s="422"/>
      <c r="F553" s="423">
        <v>4</v>
      </c>
      <c r="G553" s="352"/>
      <c r="H553" s="353"/>
      <c r="I553" s="353"/>
      <c r="J553" s="353"/>
      <c r="K553" s="353"/>
      <c r="L553" s="353"/>
      <c r="M553" s="353">
        <f>F553</f>
        <v>4</v>
      </c>
      <c r="N553" s="405"/>
      <c r="O553" s="352"/>
    </row>
    <row r="554" spans="1:15">
      <c r="A554" s="354"/>
      <c r="B554" s="354"/>
      <c r="C554" s="355"/>
      <c r="D554" s="356"/>
      <c r="E554" s="362"/>
      <c r="F554" s="358"/>
      <c r="G554" s="359"/>
      <c r="H554" s="360"/>
      <c r="I554" s="360"/>
      <c r="J554" s="360"/>
      <c r="K554" s="360"/>
      <c r="L554" s="360"/>
      <c r="M554" s="360"/>
      <c r="N554" s="405"/>
      <c r="O554" s="352"/>
    </row>
    <row r="555" spans="1:15" ht="31.5">
      <c r="A555" s="339" t="s">
        <v>1600</v>
      </c>
      <c r="B555" s="339" t="s">
        <v>160</v>
      </c>
      <c r="C555" s="340" t="s">
        <v>501</v>
      </c>
      <c r="D555" s="446" t="s">
        <v>502</v>
      </c>
      <c r="E555" s="342" t="s">
        <v>167</v>
      </c>
      <c r="F555" s="343"/>
      <c r="G555" s="344"/>
      <c r="H555" s="345"/>
      <c r="I555" s="345"/>
      <c r="J555" s="345"/>
      <c r="K555" s="345"/>
      <c r="L555" s="345"/>
      <c r="M555" s="346">
        <f>SUM(M556:M557)</f>
        <v>4</v>
      </c>
      <c r="N555" s="408"/>
      <c r="O555" s="409"/>
    </row>
    <row r="556" spans="1:15">
      <c r="A556" s="347"/>
      <c r="B556" s="347"/>
      <c r="C556" s="348"/>
      <c r="D556" s="421" t="s">
        <v>1502</v>
      </c>
      <c r="E556" s="422"/>
      <c r="F556" s="423">
        <v>4</v>
      </c>
      <c r="G556" s="352"/>
      <c r="H556" s="353"/>
      <c r="I556" s="353"/>
      <c r="J556" s="353"/>
      <c r="K556" s="353"/>
      <c r="L556" s="353"/>
      <c r="M556" s="353">
        <f>F556</f>
        <v>4</v>
      </c>
      <c r="N556" s="405"/>
      <c r="O556" s="352"/>
    </row>
    <row r="557" spans="1:15">
      <c r="A557" s="354"/>
      <c r="B557" s="354"/>
      <c r="C557" s="355"/>
      <c r="D557" s="356"/>
      <c r="E557" s="362"/>
      <c r="F557" s="358"/>
      <c r="G557" s="359"/>
      <c r="H557" s="360"/>
      <c r="I557" s="360"/>
      <c r="J557" s="360"/>
      <c r="K557" s="360"/>
      <c r="L557" s="360"/>
      <c r="M557" s="360"/>
      <c r="N557" s="405"/>
      <c r="O557" s="352"/>
    </row>
    <row r="558" spans="1:15" ht="31.5">
      <c r="A558" s="339" t="s">
        <v>1601</v>
      </c>
      <c r="B558" s="339" t="s">
        <v>160</v>
      </c>
      <c r="C558" s="340" t="s">
        <v>504</v>
      </c>
      <c r="D558" s="446" t="s">
        <v>505</v>
      </c>
      <c r="E558" s="342" t="s">
        <v>167</v>
      </c>
      <c r="F558" s="343"/>
      <c r="G558" s="344"/>
      <c r="H558" s="345"/>
      <c r="I558" s="345"/>
      <c r="J558" s="345"/>
      <c r="K558" s="345"/>
      <c r="L558" s="345"/>
      <c r="M558" s="346">
        <f>SUM(M559:M560)</f>
        <v>4</v>
      </c>
      <c r="N558" s="408"/>
      <c r="O558" s="409"/>
    </row>
    <row r="559" spans="1:15">
      <c r="A559" s="347"/>
      <c r="B559" s="347"/>
      <c r="C559" s="348"/>
      <c r="D559" s="421" t="s">
        <v>1502</v>
      </c>
      <c r="E559" s="422"/>
      <c r="F559" s="423">
        <v>4</v>
      </c>
      <c r="G559" s="352"/>
      <c r="H559" s="353"/>
      <c r="I559" s="353"/>
      <c r="J559" s="353"/>
      <c r="K559" s="353"/>
      <c r="L559" s="353"/>
      <c r="M559" s="353">
        <f>F559</f>
        <v>4</v>
      </c>
      <c r="N559" s="405"/>
      <c r="O559" s="352"/>
    </row>
    <row r="560" spans="1:15">
      <c r="A560" s="354"/>
      <c r="B560" s="354"/>
      <c r="C560" s="355"/>
      <c r="D560" s="356"/>
      <c r="E560" s="362"/>
      <c r="F560" s="358"/>
      <c r="G560" s="359"/>
      <c r="H560" s="360"/>
      <c r="I560" s="360"/>
      <c r="J560" s="360"/>
      <c r="K560" s="360"/>
      <c r="L560" s="360"/>
      <c r="M560" s="360"/>
      <c r="N560" s="405"/>
      <c r="O560" s="352"/>
    </row>
    <row r="561" spans="1:15" ht="31.5">
      <c r="A561" s="339" t="s">
        <v>1602</v>
      </c>
      <c r="B561" s="339" t="s">
        <v>160</v>
      </c>
      <c r="C561" s="340" t="s">
        <v>507</v>
      </c>
      <c r="D561" s="446" t="s">
        <v>508</v>
      </c>
      <c r="E561" s="342" t="s">
        <v>167</v>
      </c>
      <c r="F561" s="343"/>
      <c r="G561" s="344"/>
      <c r="H561" s="345"/>
      <c r="I561" s="345"/>
      <c r="J561" s="345"/>
      <c r="K561" s="345"/>
      <c r="L561" s="345"/>
      <c r="M561" s="346">
        <f>SUM(M562:M563)</f>
        <v>4</v>
      </c>
      <c r="N561" s="408"/>
      <c r="O561" s="409"/>
    </row>
    <row r="562" spans="1:15">
      <c r="A562" s="347"/>
      <c r="B562" s="347"/>
      <c r="C562" s="348"/>
      <c r="D562" s="421" t="s">
        <v>1502</v>
      </c>
      <c r="E562" s="422"/>
      <c r="F562" s="423">
        <v>4</v>
      </c>
      <c r="G562" s="352"/>
      <c r="H562" s="353"/>
      <c r="I562" s="353"/>
      <c r="J562" s="353"/>
      <c r="K562" s="353"/>
      <c r="L562" s="353"/>
      <c r="M562" s="353">
        <f>F562</f>
        <v>4</v>
      </c>
      <c r="N562" s="405"/>
      <c r="O562" s="352"/>
    </row>
    <row r="563" spans="1:15">
      <c r="A563" s="354"/>
      <c r="B563" s="354"/>
      <c r="C563" s="355"/>
      <c r="D563" s="356"/>
      <c r="E563" s="362"/>
      <c r="F563" s="358"/>
      <c r="G563" s="359"/>
      <c r="H563" s="360"/>
      <c r="I563" s="360"/>
      <c r="J563" s="360"/>
      <c r="K563" s="360"/>
      <c r="L563" s="360"/>
      <c r="M563" s="360"/>
      <c r="N563" s="405"/>
      <c r="O563" s="352"/>
    </row>
    <row r="564" spans="1:15" ht="31.5">
      <c r="A564" s="339" t="s">
        <v>1603</v>
      </c>
      <c r="B564" s="339" t="s">
        <v>160</v>
      </c>
      <c r="C564" s="340" t="s">
        <v>510</v>
      </c>
      <c r="D564" s="446" t="s">
        <v>511</v>
      </c>
      <c r="E564" s="342" t="s">
        <v>167</v>
      </c>
      <c r="F564" s="343"/>
      <c r="G564" s="344"/>
      <c r="H564" s="345"/>
      <c r="I564" s="345"/>
      <c r="J564" s="345"/>
      <c r="K564" s="345"/>
      <c r="L564" s="345"/>
      <c r="M564" s="346">
        <f>SUM(M565:M566)</f>
        <v>2</v>
      </c>
      <c r="N564" s="408"/>
      <c r="O564" s="409"/>
    </row>
    <row r="565" spans="1:15">
      <c r="A565" s="347"/>
      <c r="B565" s="347"/>
      <c r="C565" s="348"/>
      <c r="D565" s="421" t="s">
        <v>1502</v>
      </c>
      <c r="E565" s="422"/>
      <c r="F565" s="423">
        <v>2</v>
      </c>
      <c r="G565" s="352"/>
      <c r="H565" s="353"/>
      <c r="I565" s="353"/>
      <c r="J565" s="353"/>
      <c r="K565" s="353"/>
      <c r="L565" s="353"/>
      <c r="M565" s="353">
        <f>F565</f>
        <v>2</v>
      </c>
      <c r="N565" s="405"/>
      <c r="O565" s="352"/>
    </row>
    <row r="566" spans="1:15">
      <c r="A566" s="354"/>
      <c r="B566" s="354"/>
      <c r="C566" s="355"/>
      <c r="D566" s="356"/>
      <c r="E566" s="362"/>
      <c r="F566" s="358"/>
      <c r="G566" s="359"/>
      <c r="H566" s="360"/>
      <c r="I566" s="360"/>
      <c r="J566" s="360"/>
      <c r="K566" s="360"/>
      <c r="L566" s="360"/>
      <c r="M566" s="360"/>
      <c r="N566" s="405"/>
      <c r="O566" s="352"/>
    </row>
    <row r="567" spans="1:15" ht="31.5">
      <c r="A567" s="339" t="s">
        <v>1604</v>
      </c>
      <c r="B567" s="339" t="s">
        <v>160</v>
      </c>
      <c r="C567" s="340" t="s">
        <v>513</v>
      </c>
      <c r="D567" s="446" t="s">
        <v>514</v>
      </c>
      <c r="E567" s="342" t="s">
        <v>167</v>
      </c>
      <c r="F567" s="343"/>
      <c r="G567" s="344"/>
      <c r="H567" s="345"/>
      <c r="I567" s="345"/>
      <c r="J567" s="345"/>
      <c r="K567" s="345"/>
      <c r="L567" s="345"/>
      <c r="M567" s="346">
        <f>SUM(M568:M569)</f>
        <v>3</v>
      </c>
      <c r="N567" s="408"/>
      <c r="O567" s="409"/>
    </row>
    <row r="568" spans="1:15">
      <c r="A568" s="347"/>
      <c r="B568" s="347"/>
      <c r="C568" s="348"/>
      <c r="D568" s="421" t="s">
        <v>1502</v>
      </c>
      <c r="E568" s="422"/>
      <c r="F568" s="423">
        <v>3</v>
      </c>
      <c r="G568" s="352"/>
      <c r="H568" s="353"/>
      <c r="I568" s="353"/>
      <c r="J568" s="353"/>
      <c r="K568" s="353"/>
      <c r="L568" s="353"/>
      <c r="M568" s="353">
        <f>F568</f>
        <v>3</v>
      </c>
      <c r="N568" s="405"/>
      <c r="O568" s="352"/>
    </row>
    <row r="569" spans="1:15">
      <c r="A569" s="354"/>
      <c r="B569" s="354"/>
      <c r="C569" s="355"/>
      <c r="D569" s="356"/>
      <c r="E569" s="362"/>
      <c r="F569" s="358"/>
      <c r="G569" s="359"/>
      <c r="H569" s="360"/>
      <c r="I569" s="360"/>
      <c r="J569" s="360"/>
      <c r="K569" s="360"/>
      <c r="L569" s="360"/>
      <c r="M569" s="360"/>
      <c r="N569" s="405"/>
      <c r="O569" s="352"/>
    </row>
    <row r="570" spans="1:15" ht="31.5">
      <c r="A570" s="339" t="s">
        <v>1605</v>
      </c>
      <c r="B570" s="339" t="s">
        <v>3</v>
      </c>
      <c r="C570" s="340" t="s">
        <v>516</v>
      </c>
      <c r="D570" s="446" t="s">
        <v>517</v>
      </c>
      <c r="E570" s="342" t="s">
        <v>167</v>
      </c>
      <c r="F570" s="343"/>
      <c r="G570" s="344"/>
      <c r="H570" s="345"/>
      <c r="I570" s="345"/>
      <c r="J570" s="345"/>
      <c r="K570" s="345"/>
      <c r="L570" s="345"/>
      <c r="M570" s="346">
        <f>SUM(M571:M572)</f>
        <v>2</v>
      </c>
      <c r="N570" s="408"/>
      <c r="O570" s="409"/>
    </row>
    <row r="571" spans="1:15">
      <c r="A571" s="347"/>
      <c r="B571" s="347"/>
      <c r="C571" s="348"/>
      <c r="D571" s="421" t="s">
        <v>1502</v>
      </c>
      <c r="E571" s="422"/>
      <c r="F571" s="423">
        <v>2</v>
      </c>
      <c r="G571" s="352"/>
      <c r="H571" s="353"/>
      <c r="I571" s="353"/>
      <c r="J571" s="353"/>
      <c r="K571" s="353"/>
      <c r="L571" s="353"/>
      <c r="M571" s="353">
        <f>F571</f>
        <v>2</v>
      </c>
      <c r="N571" s="405"/>
      <c r="O571" s="352"/>
    </row>
    <row r="572" spans="1:15">
      <c r="A572" s="354"/>
      <c r="B572" s="354"/>
      <c r="C572" s="355"/>
      <c r="D572" s="356"/>
      <c r="E572" s="362"/>
      <c r="F572" s="358"/>
      <c r="G572" s="359"/>
      <c r="H572" s="360"/>
      <c r="I572" s="360"/>
      <c r="J572" s="360"/>
      <c r="K572" s="360"/>
      <c r="L572" s="360"/>
      <c r="M572" s="360"/>
      <c r="N572" s="405"/>
      <c r="O572" s="352"/>
    </row>
    <row r="573" spans="1:15" ht="47.25">
      <c r="A573" s="339" t="s">
        <v>1606</v>
      </c>
      <c r="B573" s="339" t="s">
        <v>160</v>
      </c>
      <c r="C573" s="340" t="s">
        <v>519</v>
      </c>
      <c r="D573" s="446" t="s">
        <v>520</v>
      </c>
      <c r="E573" s="342" t="s">
        <v>167</v>
      </c>
      <c r="F573" s="343"/>
      <c r="G573" s="344"/>
      <c r="H573" s="345"/>
      <c r="I573" s="345"/>
      <c r="J573" s="345"/>
      <c r="K573" s="345"/>
      <c r="L573" s="345"/>
      <c r="M573" s="346">
        <f>SUM(M574:M575)</f>
        <v>2</v>
      </c>
      <c r="N573" s="408"/>
      <c r="O573" s="409"/>
    </row>
    <row r="574" spans="1:15">
      <c r="A574" s="347"/>
      <c r="B574" s="347"/>
      <c r="C574" s="348"/>
      <c r="D574" s="421" t="s">
        <v>1502</v>
      </c>
      <c r="E574" s="422"/>
      <c r="F574" s="423">
        <v>2</v>
      </c>
      <c r="G574" s="352"/>
      <c r="H574" s="353"/>
      <c r="I574" s="353"/>
      <c r="J574" s="353"/>
      <c r="K574" s="353"/>
      <c r="L574" s="353"/>
      <c r="M574" s="353">
        <f>F574</f>
        <v>2</v>
      </c>
      <c r="N574" s="405"/>
      <c r="O574" s="352"/>
    </row>
    <row r="575" spans="1:15">
      <c r="A575" s="354"/>
      <c r="B575" s="354"/>
      <c r="C575" s="355"/>
      <c r="D575" s="356"/>
      <c r="E575" s="362"/>
      <c r="F575" s="358"/>
      <c r="G575" s="359"/>
      <c r="H575" s="360"/>
      <c r="I575" s="360"/>
      <c r="J575" s="360"/>
      <c r="K575" s="360"/>
      <c r="L575" s="360"/>
      <c r="M575" s="360"/>
      <c r="N575" s="405"/>
      <c r="O575" s="352"/>
    </row>
    <row r="576" spans="1:15" ht="31.5">
      <c r="A576" s="339" t="s">
        <v>1607</v>
      </c>
      <c r="B576" s="339" t="s">
        <v>160</v>
      </c>
      <c r="C576" s="340" t="s">
        <v>522</v>
      </c>
      <c r="D576" s="446" t="s">
        <v>523</v>
      </c>
      <c r="E576" s="342" t="s">
        <v>167</v>
      </c>
      <c r="F576" s="343"/>
      <c r="G576" s="344"/>
      <c r="H576" s="345"/>
      <c r="I576" s="345"/>
      <c r="J576" s="345"/>
      <c r="K576" s="345"/>
      <c r="L576" s="345"/>
      <c r="M576" s="346">
        <f>SUM(M577:M578)</f>
        <v>3</v>
      </c>
      <c r="N576" s="408"/>
      <c r="O576" s="409"/>
    </row>
    <row r="577" spans="1:15">
      <c r="A577" s="347"/>
      <c r="B577" s="347"/>
      <c r="C577" s="348"/>
      <c r="D577" s="421" t="s">
        <v>1502</v>
      </c>
      <c r="E577" s="422"/>
      <c r="F577" s="423">
        <v>3</v>
      </c>
      <c r="G577" s="352"/>
      <c r="H577" s="353"/>
      <c r="I577" s="353"/>
      <c r="J577" s="353"/>
      <c r="K577" s="353"/>
      <c r="L577" s="353"/>
      <c r="M577" s="353">
        <f>F577</f>
        <v>3</v>
      </c>
      <c r="N577" s="405"/>
      <c r="O577" s="352"/>
    </row>
    <row r="578" spans="1:15">
      <c r="A578" s="354"/>
      <c r="B578" s="354"/>
      <c r="C578" s="355"/>
      <c r="D578" s="356"/>
      <c r="E578" s="362"/>
      <c r="F578" s="358"/>
      <c r="G578" s="359"/>
      <c r="H578" s="360"/>
      <c r="I578" s="360"/>
      <c r="J578" s="360"/>
      <c r="K578" s="360"/>
      <c r="L578" s="360"/>
      <c r="M578" s="360"/>
      <c r="N578" s="405"/>
      <c r="O578" s="352"/>
    </row>
    <row r="579" spans="1:15" ht="47.25">
      <c r="A579" s="339" t="s">
        <v>1608</v>
      </c>
      <c r="B579" s="339" t="s">
        <v>160</v>
      </c>
      <c r="C579" s="340" t="s">
        <v>525</v>
      </c>
      <c r="D579" s="446" t="s">
        <v>526</v>
      </c>
      <c r="E579" s="342" t="s">
        <v>167</v>
      </c>
      <c r="F579" s="343"/>
      <c r="G579" s="344"/>
      <c r="H579" s="345"/>
      <c r="I579" s="345"/>
      <c r="J579" s="345"/>
      <c r="K579" s="345"/>
      <c r="L579" s="345"/>
      <c r="M579" s="346">
        <f>SUM(M580:M581)</f>
        <v>2</v>
      </c>
      <c r="N579" s="408"/>
      <c r="O579" s="409"/>
    </row>
    <row r="580" spans="1:15">
      <c r="A580" s="347"/>
      <c r="B580" s="347"/>
      <c r="C580" s="348"/>
      <c r="D580" s="421" t="s">
        <v>1502</v>
      </c>
      <c r="E580" s="422"/>
      <c r="F580" s="423">
        <v>2</v>
      </c>
      <c r="G580" s="352"/>
      <c r="H580" s="353"/>
      <c r="I580" s="353"/>
      <c r="J580" s="353"/>
      <c r="K580" s="353"/>
      <c r="L580" s="353"/>
      <c r="M580" s="353">
        <f>F580</f>
        <v>2</v>
      </c>
      <c r="N580" s="405"/>
      <c r="O580" s="352"/>
    </row>
    <row r="581" spans="1:15">
      <c r="A581" s="354"/>
      <c r="B581" s="354"/>
      <c r="C581" s="355"/>
      <c r="D581" s="356"/>
      <c r="E581" s="362"/>
      <c r="F581" s="358"/>
      <c r="G581" s="359"/>
      <c r="H581" s="360"/>
      <c r="I581" s="360"/>
      <c r="J581" s="360"/>
      <c r="K581" s="360"/>
      <c r="L581" s="360"/>
      <c r="M581" s="360"/>
      <c r="N581" s="405"/>
      <c r="O581" s="352"/>
    </row>
    <row r="582" spans="1:15" ht="31.5">
      <c r="A582" s="339" t="s">
        <v>1609</v>
      </c>
      <c r="B582" s="339" t="s">
        <v>160</v>
      </c>
      <c r="C582" s="340" t="s">
        <v>528</v>
      </c>
      <c r="D582" s="446" t="s">
        <v>529</v>
      </c>
      <c r="E582" s="342" t="s">
        <v>167</v>
      </c>
      <c r="F582" s="343"/>
      <c r="G582" s="344"/>
      <c r="H582" s="345"/>
      <c r="I582" s="345"/>
      <c r="J582" s="345"/>
      <c r="K582" s="345"/>
      <c r="L582" s="345"/>
      <c r="M582" s="346">
        <f>SUM(M583:M584)</f>
        <v>4</v>
      </c>
      <c r="N582" s="408"/>
      <c r="O582" s="409"/>
    </row>
    <row r="583" spans="1:15">
      <c r="A583" s="347"/>
      <c r="B583" s="347"/>
      <c r="C583" s="348"/>
      <c r="D583" s="421" t="s">
        <v>1502</v>
      </c>
      <c r="E583" s="422"/>
      <c r="F583" s="423">
        <v>4</v>
      </c>
      <c r="G583" s="352"/>
      <c r="H583" s="353"/>
      <c r="I583" s="353"/>
      <c r="J583" s="353"/>
      <c r="K583" s="353"/>
      <c r="L583" s="353"/>
      <c r="M583" s="353">
        <f>F583</f>
        <v>4</v>
      </c>
      <c r="N583" s="405"/>
      <c r="O583" s="352"/>
    </row>
    <row r="584" spans="1:15">
      <c r="A584" s="354"/>
      <c r="B584" s="354"/>
      <c r="C584" s="355"/>
      <c r="D584" s="356"/>
      <c r="E584" s="362"/>
      <c r="F584" s="358"/>
      <c r="G584" s="359"/>
      <c r="H584" s="360"/>
      <c r="I584" s="360"/>
      <c r="J584" s="360"/>
      <c r="K584" s="360"/>
      <c r="L584" s="360"/>
      <c r="M584" s="360"/>
      <c r="N584" s="405"/>
      <c r="O584" s="352"/>
    </row>
    <row r="585" spans="1:15" ht="31.5">
      <c r="A585" s="339" t="s">
        <v>1610</v>
      </c>
      <c r="B585" s="339" t="s">
        <v>160</v>
      </c>
      <c r="C585" s="340" t="s">
        <v>531</v>
      </c>
      <c r="D585" s="446" t="s">
        <v>532</v>
      </c>
      <c r="E585" s="342" t="s">
        <v>167</v>
      </c>
      <c r="F585" s="343"/>
      <c r="G585" s="344"/>
      <c r="H585" s="345"/>
      <c r="I585" s="345"/>
      <c r="J585" s="345"/>
      <c r="K585" s="345"/>
      <c r="L585" s="345"/>
      <c r="M585" s="346">
        <f>SUM(M586:M587)</f>
        <v>6</v>
      </c>
      <c r="N585" s="408"/>
      <c r="O585" s="409"/>
    </row>
    <row r="586" spans="1:15">
      <c r="A586" s="347"/>
      <c r="B586" s="347"/>
      <c r="C586" s="348"/>
      <c r="D586" s="421" t="s">
        <v>1502</v>
      </c>
      <c r="E586" s="422"/>
      <c r="F586" s="423">
        <v>6</v>
      </c>
      <c r="G586" s="352"/>
      <c r="H586" s="353"/>
      <c r="I586" s="353"/>
      <c r="J586" s="353"/>
      <c r="K586" s="353"/>
      <c r="L586" s="353"/>
      <c r="M586" s="353">
        <f>F586</f>
        <v>6</v>
      </c>
      <c r="N586" s="405"/>
      <c r="O586" s="352"/>
    </row>
    <row r="587" spans="1:15">
      <c r="A587" s="354"/>
      <c r="B587" s="354"/>
      <c r="C587" s="355"/>
      <c r="D587" s="356"/>
      <c r="E587" s="362"/>
      <c r="F587" s="358"/>
      <c r="G587" s="359"/>
      <c r="H587" s="360"/>
      <c r="I587" s="360"/>
      <c r="J587" s="360"/>
      <c r="K587" s="360"/>
      <c r="L587" s="360"/>
      <c r="M587" s="360"/>
      <c r="N587" s="405"/>
      <c r="O587" s="352"/>
    </row>
    <row r="588" spans="1:15" ht="31.5">
      <c r="A588" s="339" t="s">
        <v>1611</v>
      </c>
      <c r="B588" s="339" t="s">
        <v>160</v>
      </c>
      <c r="C588" s="340" t="s">
        <v>534</v>
      </c>
      <c r="D588" s="446" t="s">
        <v>535</v>
      </c>
      <c r="E588" s="342" t="s">
        <v>167</v>
      </c>
      <c r="F588" s="343"/>
      <c r="G588" s="344"/>
      <c r="H588" s="345"/>
      <c r="I588" s="345"/>
      <c r="J588" s="345"/>
      <c r="K588" s="345"/>
      <c r="L588" s="345"/>
      <c r="M588" s="346">
        <f>SUM(M589:M590)</f>
        <v>4</v>
      </c>
      <c r="N588" s="408"/>
      <c r="O588" s="409"/>
    </row>
    <row r="589" spans="1:15">
      <c r="A589" s="347"/>
      <c r="B589" s="347"/>
      <c r="C589" s="348"/>
      <c r="D589" s="421" t="s">
        <v>1502</v>
      </c>
      <c r="E589" s="422"/>
      <c r="F589" s="423">
        <v>4</v>
      </c>
      <c r="G589" s="352"/>
      <c r="H589" s="353"/>
      <c r="I589" s="353"/>
      <c r="J589" s="353"/>
      <c r="K589" s="353"/>
      <c r="L589" s="353"/>
      <c r="M589" s="353">
        <f>F589</f>
        <v>4</v>
      </c>
      <c r="N589" s="405"/>
      <c r="O589" s="352"/>
    </row>
    <row r="590" spans="1:15">
      <c r="A590" s="354"/>
      <c r="B590" s="354"/>
      <c r="C590" s="355"/>
      <c r="D590" s="356"/>
      <c r="E590" s="362"/>
      <c r="F590" s="358"/>
      <c r="G590" s="359"/>
      <c r="H590" s="360"/>
      <c r="I590" s="360"/>
      <c r="J590" s="360"/>
      <c r="K590" s="360"/>
      <c r="L590" s="360"/>
      <c r="M590" s="360"/>
      <c r="N590" s="405"/>
      <c r="O590" s="352"/>
    </row>
    <row r="591" spans="1:15" ht="31.5">
      <c r="A591" s="339" t="s">
        <v>1612</v>
      </c>
      <c r="B591" s="339" t="s">
        <v>160</v>
      </c>
      <c r="C591" s="340" t="s">
        <v>537</v>
      </c>
      <c r="D591" s="446" t="s">
        <v>538</v>
      </c>
      <c r="E591" s="342" t="s">
        <v>167</v>
      </c>
      <c r="F591" s="343"/>
      <c r="G591" s="344"/>
      <c r="H591" s="345"/>
      <c r="I591" s="345"/>
      <c r="J591" s="345"/>
      <c r="K591" s="345"/>
      <c r="L591" s="345"/>
      <c r="M591" s="346">
        <f>SUM(M592:M593)</f>
        <v>18</v>
      </c>
      <c r="N591" s="408"/>
      <c r="O591" s="409"/>
    </row>
    <row r="592" spans="1:15">
      <c r="A592" s="347"/>
      <c r="B592" s="347"/>
      <c r="C592" s="348"/>
      <c r="D592" s="421" t="s">
        <v>1502</v>
      </c>
      <c r="E592" s="422"/>
      <c r="F592" s="423">
        <v>18</v>
      </c>
      <c r="G592" s="352"/>
      <c r="H592" s="353"/>
      <c r="I592" s="353"/>
      <c r="J592" s="353"/>
      <c r="K592" s="353"/>
      <c r="L592" s="353"/>
      <c r="M592" s="353">
        <f>F592</f>
        <v>18</v>
      </c>
      <c r="N592" s="405"/>
      <c r="O592" s="352"/>
    </row>
    <row r="593" spans="1:15">
      <c r="A593" s="354"/>
      <c r="B593" s="354"/>
      <c r="C593" s="355"/>
      <c r="D593" s="356"/>
      <c r="E593" s="362"/>
      <c r="F593" s="358"/>
      <c r="G593" s="359"/>
      <c r="H593" s="360"/>
      <c r="I593" s="360"/>
      <c r="J593" s="360"/>
      <c r="K593" s="360"/>
      <c r="L593" s="360"/>
      <c r="M593" s="360"/>
      <c r="N593" s="405"/>
      <c r="O593" s="352"/>
    </row>
    <row r="594" spans="1:15" ht="31.5">
      <c r="A594" s="339" t="s">
        <v>1613</v>
      </c>
      <c r="B594" s="339" t="s">
        <v>160</v>
      </c>
      <c r="C594" s="340" t="s">
        <v>540</v>
      </c>
      <c r="D594" s="446" t="s">
        <v>541</v>
      </c>
      <c r="E594" s="342" t="s">
        <v>167</v>
      </c>
      <c r="F594" s="343"/>
      <c r="G594" s="344"/>
      <c r="H594" s="345"/>
      <c r="I594" s="345"/>
      <c r="J594" s="345"/>
      <c r="K594" s="345"/>
      <c r="L594" s="345"/>
      <c r="M594" s="346">
        <f>SUM(M595:M596)</f>
        <v>8</v>
      </c>
      <c r="N594" s="408"/>
      <c r="O594" s="409"/>
    </row>
    <row r="595" spans="1:15">
      <c r="A595" s="347"/>
      <c r="B595" s="347"/>
      <c r="C595" s="348"/>
      <c r="D595" s="421" t="s">
        <v>1502</v>
      </c>
      <c r="E595" s="422"/>
      <c r="F595" s="423">
        <v>8</v>
      </c>
      <c r="G595" s="352"/>
      <c r="H595" s="353"/>
      <c r="I595" s="353"/>
      <c r="J595" s="353"/>
      <c r="K595" s="353"/>
      <c r="L595" s="353"/>
      <c r="M595" s="353">
        <f>F595</f>
        <v>8</v>
      </c>
      <c r="N595" s="405"/>
      <c r="O595" s="352"/>
    </row>
    <row r="596" spans="1:15">
      <c r="A596" s="354"/>
      <c r="B596" s="354"/>
      <c r="C596" s="355"/>
      <c r="D596" s="356"/>
      <c r="E596" s="362"/>
      <c r="F596" s="358"/>
      <c r="G596" s="359"/>
      <c r="H596" s="360"/>
      <c r="I596" s="360"/>
      <c r="J596" s="360"/>
      <c r="K596" s="360"/>
      <c r="L596" s="360"/>
      <c r="M596" s="360"/>
      <c r="N596" s="405"/>
      <c r="O596" s="352"/>
    </row>
    <row r="597" spans="1:15" ht="31.5">
      <c r="A597" s="339" t="s">
        <v>1614</v>
      </c>
      <c r="B597" s="339" t="s">
        <v>160</v>
      </c>
      <c r="C597" s="340" t="s">
        <v>543</v>
      </c>
      <c r="D597" s="446" t="s">
        <v>544</v>
      </c>
      <c r="E597" s="342" t="s">
        <v>167</v>
      </c>
      <c r="F597" s="343"/>
      <c r="G597" s="344"/>
      <c r="H597" s="345"/>
      <c r="I597" s="345"/>
      <c r="J597" s="345"/>
      <c r="K597" s="345"/>
      <c r="L597" s="345"/>
      <c r="M597" s="346">
        <f>SUM(M598:M599)</f>
        <v>9</v>
      </c>
      <c r="N597" s="408"/>
      <c r="O597" s="409"/>
    </row>
    <row r="598" spans="1:15">
      <c r="A598" s="347"/>
      <c r="B598" s="347"/>
      <c r="C598" s="348"/>
      <c r="D598" s="421" t="s">
        <v>1502</v>
      </c>
      <c r="E598" s="422"/>
      <c r="F598" s="423">
        <v>9</v>
      </c>
      <c r="G598" s="352"/>
      <c r="H598" s="353"/>
      <c r="I598" s="353"/>
      <c r="J598" s="353"/>
      <c r="K598" s="353"/>
      <c r="L598" s="353"/>
      <c r="M598" s="353">
        <f>F598</f>
        <v>9</v>
      </c>
      <c r="N598" s="405"/>
      <c r="O598" s="352"/>
    </row>
    <row r="599" spans="1:15">
      <c r="A599" s="354"/>
      <c r="B599" s="354"/>
      <c r="C599" s="355"/>
      <c r="D599" s="356"/>
      <c r="E599" s="362"/>
      <c r="F599" s="358"/>
      <c r="G599" s="359"/>
      <c r="H599" s="360"/>
      <c r="I599" s="360"/>
      <c r="J599" s="360"/>
      <c r="K599" s="360"/>
      <c r="L599" s="360"/>
      <c r="M599" s="360"/>
      <c r="N599" s="405"/>
      <c r="O599" s="352"/>
    </row>
    <row r="600" spans="1:15" ht="31.5">
      <c r="A600" s="339" t="s">
        <v>1615</v>
      </c>
      <c r="B600" s="339" t="s">
        <v>160</v>
      </c>
      <c r="C600" s="340" t="s">
        <v>546</v>
      </c>
      <c r="D600" s="446" t="s">
        <v>547</v>
      </c>
      <c r="E600" s="342" t="s">
        <v>167</v>
      </c>
      <c r="F600" s="343"/>
      <c r="G600" s="344"/>
      <c r="H600" s="345"/>
      <c r="I600" s="345"/>
      <c r="J600" s="345"/>
      <c r="K600" s="345"/>
      <c r="L600" s="345"/>
      <c r="M600" s="346">
        <f>SUM(M601:M602)</f>
        <v>2</v>
      </c>
      <c r="N600" s="408"/>
      <c r="O600" s="409"/>
    </row>
    <row r="601" spans="1:15">
      <c r="A601" s="347"/>
      <c r="B601" s="347"/>
      <c r="C601" s="348"/>
      <c r="D601" s="421" t="s">
        <v>1502</v>
      </c>
      <c r="E601" s="422"/>
      <c r="F601" s="423">
        <v>2</v>
      </c>
      <c r="G601" s="352"/>
      <c r="H601" s="353"/>
      <c r="I601" s="353"/>
      <c r="J601" s="353"/>
      <c r="K601" s="353"/>
      <c r="L601" s="353"/>
      <c r="M601" s="353">
        <f>F601</f>
        <v>2</v>
      </c>
      <c r="N601" s="405"/>
      <c r="O601" s="352"/>
    </row>
    <row r="602" spans="1:15">
      <c r="A602" s="354"/>
      <c r="B602" s="354"/>
      <c r="C602" s="355"/>
      <c r="D602" s="356"/>
      <c r="E602" s="362"/>
      <c r="F602" s="358"/>
      <c r="G602" s="359"/>
      <c r="H602" s="360"/>
      <c r="I602" s="360"/>
      <c r="J602" s="360"/>
      <c r="K602" s="360"/>
      <c r="L602" s="360"/>
      <c r="M602" s="360"/>
      <c r="N602" s="405"/>
      <c r="O602" s="352"/>
    </row>
    <row r="603" spans="1:15" ht="47.25">
      <c r="A603" s="339" t="s">
        <v>1616</v>
      </c>
      <c r="B603" s="339" t="s">
        <v>160</v>
      </c>
      <c r="C603" s="340" t="s">
        <v>549</v>
      </c>
      <c r="D603" s="446" t="s">
        <v>550</v>
      </c>
      <c r="E603" s="342" t="s">
        <v>167</v>
      </c>
      <c r="F603" s="343"/>
      <c r="G603" s="344"/>
      <c r="H603" s="345"/>
      <c r="I603" s="345"/>
      <c r="J603" s="345"/>
      <c r="K603" s="345"/>
      <c r="L603" s="345"/>
      <c r="M603" s="346">
        <f>SUM(M604:M605)</f>
        <v>5</v>
      </c>
      <c r="N603" s="408"/>
      <c r="O603" s="409"/>
    </row>
    <row r="604" spans="1:15">
      <c r="A604" s="347"/>
      <c r="B604" s="347"/>
      <c r="C604" s="348"/>
      <c r="D604" s="421" t="s">
        <v>1502</v>
      </c>
      <c r="E604" s="422"/>
      <c r="F604" s="423">
        <v>5</v>
      </c>
      <c r="G604" s="352"/>
      <c r="H604" s="353"/>
      <c r="I604" s="353"/>
      <c r="J604" s="353"/>
      <c r="K604" s="353"/>
      <c r="L604" s="353"/>
      <c r="M604" s="353">
        <f>F604</f>
        <v>5</v>
      </c>
      <c r="N604" s="405"/>
      <c r="O604" s="352"/>
    </row>
    <row r="605" spans="1:15">
      <c r="A605" s="354"/>
      <c r="B605" s="354"/>
      <c r="C605" s="355"/>
      <c r="D605" s="356"/>
      <c r="E605" s="362"/>
      <c r="F605" s="358"/>
      <c r="G605" s="359"/>
      <c r="H605" s="360"/>
      <c r="I605" s="360"/>
      <c r="J605" s="360"/>
      <c r="K605" s="360"/>
      <c r="L605" s="360"/>
      <c r="M605" s="360"/>
      <c r="N605" s="405"/>
      <c r="O605" s="352"/>
    </row>
    <row r="606" spans="1:15" ht="47.25">
      <c r="A606" s="339" t="s">
        <v>1617</v>
      </c>
      <c r="B606" s="339" t="s">
        <v>160</v>
      </c>
      <c r="C606" s="340" t="s">
        <v>552</v>
      </c>
      <c r="D606" s="446" t="s">
        <v>553</v>
      </c>
      <c r="E606" s="342" t="s">
        <v>167</v>
      </c>
      <c r="F606" s="343"/>
      <c r="G606" s="344"/>
      <c r="H606" s="345"/>
      <c r="I606" s="345"/>
      <c r="J606" s="345"/>
      <c r="K606" s="345"/>
      <c r="L606" s="345"/>
      <c r="M606" s="346">
        <f>SUM(M607:M608)</f>
        <v>2</v>
      </c>
      <c r="N606" s="408"/>
      <c r="O606" s="409"/>
    </row>
    <row r="607" spans="1:15">
      <c r="A607" s="347"/>
      <c r="B607" s="347"/>
      <c r="C607" s="348"/>
      <c r="D607" s="421" t="s">
        <v>1502</v>
      </c>
      <c r="E607" s="422"/>
      <c r="F607" s="423">
        <v>2</v>
      </c>
      <c r="G607" s="352"/>
      <c r="H607" s="353"/>
      <c r="I607" s="353"/>
      <c r="J607" s="353"/>
      <c r="K607" s="353"/>
      <c r="L607" s="353"/>
      <c r="M607" s="353">
        <f>F607</f>
        <v>2</v>
      </c>
      <c r="N607" s="405"/>
      <c r="O607" s="352"/>
    </row>
    <row r="608" spans="1:15">
      <c r="A608" s="354"/>
      <c r="B608" s="354"/>
      <c r="C608" s="355"/>
      <c r="D608" s="356"/>
      <c r="E608" s="362"/>
      <c r="F608" s="358"/>
      <c r="G608" s="359"/>
      <c r="H608" s="360"/>
      <c r="I608" s="360"/>
      <c r="J608" s="360"/>
      <c r="K608" s="360"/>
      <c r="L608" s="360"/>
      <c r="M608" s="360"/>
      <c r="N608" s="405"/>
      <c r="O608" s="352"/>
    </row>
    <row r="609" spans="1:15" ht="47.25">
      <c r="A609" s="339" t="s">
        <v>1618</v>
      </c>
      <c r="B609" s="339" t="s">
        <v>160</v>
      </c>
      <c r="C609" s="340" t="s">
        <v>555</v>
      </c>
      <c r="D609" s="446" t="s">
        <v>556</v>
      </c>
      <c r="E609" s="342" t="s">
        <v>167</v>
      </c>
      <c r="F609" s="343"/>
      <c r="G609" s="344"/>
      <c r="H609" s="345"/>
      <c r="I609" s="345"/>
      <c r="J609" s="345"/>
      <c r="K609" s="345"/>
      <c r="L609" s="345"/>
      <c r="M609" s="346">
        <f>SUM(M610:M611)</f>
        <v>5</v>
      </c>
      <c r="N609" s="408"/>
      <c r="O609" s="409"/>
    </row>
    <row r="610" spans="1:15">
      <c r="A610" s="347"/>
      <c r="B610" s="347"/>
      <c r="C610" s="348"/>
      <c r="D610" s="421" t="s">
        <v>1502</v>
      </c>
      <c r="E610" s="422"/>
      <c r="F610" s="423">
        <v>5</v>
      </c>
      <c r="G610" s="352"/>
      <c r="H610" s="353"/>
      <c r="I610" s="353"/>
      <c r="J610" s="353"/>
      <c r="K610" s="353"/>
      <c r="L610" s="353"/>
      <c r="M610" s="353">
        <f>F610</f>
        <v>5</v>
      </c>
      <c r="N610" s="405"/>
      <c r="O610" s="352"/>
    </row>
    <row r="611" spans="1:15">
      <c r="A611" s="354"/>
      <c r="B611" s="354"/>
      <c r="C611" s="355"/>
      <c r="D611" s="356"/>
      <c r="E611" s="362"/>
      <c r="F611" s="358"/>
      <c r="G611" s="359"/>
      <c r="H611" s="360"/>
      <c r="I611" s="360"/>
      <c r="J611" s="360"/>
      <c r="K611" s="360"/>
      <c r="L611" s="360"/>
      <c r="M611" s="360"/>
      <c r="N611" s="405"/>
      <c r="O611" s="352"/>
    </row>
    <row r="612" spans="1:15" ht="47.25">
      <c r="A612" s="339" t="s">
        <v>1619</v>
      </c>
      <c r="B612" s="339" t="s">
        <v>160</v>
      </c>
      <c r="C612" s="340" t="s">
        <v>558</v>
      </c>
      <c r="D612" s="446" t="s">
        <v>559</v>
      </c>
      <c r="E612" s="342" t="s">
        <v>167</v>
      </c>
      <c r="F612" s="343"/>
      <c r="G612" s="344"/>
      <c r="H612" s="345"/>
      <c r="I612" s="345"/>
      <c r="J612" s="345"/>
      <c r="K612" s="345"/>
      <c r="L612" s="345"/>
      <c r="M612" s="346">
        <f>SUM(M613:M614)</f>
        <v>2</v>
      </c>
      <c r="N612" s="408"/>
      <c r="O612" s="409"/>
    </row>
    <row r="613" spans="1:15">
      <c r="A613" s="347"/>
      <c r="B613" s="347"/>
      <c r="C613" s="348"/>
      <c r="D613" s="421" t="s">
        <v>1502</v>
      </c>
      <c r="E613" s="422"/>
      <c r="F613" s="423">
        <v>2</v>
      </c>
      <c r="G613" s="352"/>
      <c r="H613" s="353"/>
      <c r="I613" s="353"/>
      <c r="J613" s="353"/>
      <c r="K613" s="353"/>
      <c r="L613" s="353"/>
      <c r="M613" s="353">
        <f>F613</f>
        <v>2</v>
      </c>
      <c r="N613" s="405"/>
      <c r="O613" s="352"/>
    </row>
    <row r="614" spans="1:15">
      <c r="A614" s="354"/>
      <c r="B614" s="354"/>
      <c r="C614" s="355"/>
      <c r="D614" s="356"/>
      <c r="E614" s="362"/>
      <c r="F614" s="358"/>
      <c r="G614" s="359"/>
      <c r="H614" s="360"/>
      <c r="I614" s="360"/>
      <c r="J614" s="360"/>
      <c r="K614" s="360"/>
      <c r="L614" s="360"/>
      <c r="M614" s="360"/>
      <c r="N614" s="405"/>
      <c r="O614" s="352"/>
    </row>
    <row r="615" spans="1:15" ht="31.5">
      <c r="A615" s="339" t="s">
        <v>1620</v>
      </c>
      <c r="B615" s="339" t="s">
        <v>160</v>
      </c>
      <c r="C615" s="340" t="s">
        <v>561</v>
      </c>
      <c r="D615" s="446" t="s">
        <v>562</v>
      </c>
      <c r="E615" s="342" t="s">
        <v>167</v>
      </c>
      <c r="F615" s="343"/>
      <c r="G615" s="344"/>
      <c r="H615" s="345"/>
      <c r="I615" s="345"/>
      <c r="J615" s="345"/>
      <c r="K615" s="345"/>
      <c r="L615" s="345"/>
      <c r="M615" s="346">
        <f>SUM(M616:M617)</f>
        <v>4</v>
      </c>
      <c r="N615" s="408"/>
      <c r="O615" s="409"/>
    </row>
    <row r="616" spans="1:15">
      <c r="A616" s="347"/>
      <c r="B616" s="347"/>
      <c r="C616" s="348"/>
      <c r="D616" s="421" t="s">
        <v>1502</v>
      </c>
      <c r="E616" s="422"/>
      <c r="F616" s="423">
        <v>4</v>
      </c>
      <c r="G616" s="352"/>
      <c r="H616" s="353"/>
      <c r="I616" s="353"/>
      <c r="J616" s="353"/>
      <c r="K616" s="353"/>
      <c r="L616" s="353"/>
      <c r="M616" s="353">
        <f>F616</f>
        <v>4</v>
      </c>
      <c r="N616" s="405"/>
      <c r="O616" s="352"/>
    </row>
    <row r="617" spans="1:15">
      <c r="A617" s="354"/>
      <c r="B617" s="354"/>
      <c r="C617" s="355"/>
      <c r="D617" s="356"/>
      <c r="E617" s="362"/>
      <c r="F617" s="358"/>
      <c r="G617" s="359"/>
      <c r="H617" s="360"/>
      <c r="I617" s="360"/>
      <c r="J617" s="360"/>
      <c r="K617" s="360"/>
      <c r="L617" s="360"/>
      <c r="M617" s="360"/>
      <c r="N617" s="405"/>
      <c r="O617" s="352"/>
    </row>
    <row r="618" spans="1:15" ht="31.5">
      <c r="A618" s="339" t="s">
        <v>1621</v>
      </c>
      <c r="B618" s="339" t="s">
        <v>160</v>
      </c>
      <c r="C618" s="340" t="s">
        <v>564</v>
      </c>
      <c r="D618" s="446" t="s">
        <v>565</v>
      </c>
      <c r="E618" s="342" t="s">
        <v>167</v>
      </c>
      <c r="F618" s="343"/>
      <c r="G618" s="344"/>
      <c r="H618" s="345"/>
      <c r="I618" s="345"/>
      <c r="J618" s="345"/>
      <c r="K618" s="345"/>
      <c r="L618" s="345"/>
      <c r="M618" s="346">
        <f>SUM(M619:M620)</f>
        <v>6</v>
      </c>
      <c r="N618" s="408"/>
      <c r="O618" s="409"/>
    </row>
    <row r="619" spans="1:15">
      <c r="A619" s="347"/>
      <c r="B619" s="347"/>
      <c r="C619" s="348"/>
      <c r="D619" s="421" t="s">
        <v>1502</v>
      </c>
      <c r="E619" s="422"/>
      <c r="F619" s="423">
        <v>6</v>
      </c>
      <c r="G619" s="352"/>
      <c r="H619" s="353"/>
      <c r="I619" s="353"/>
      <c r="J619" s="353"/>
      <c r="K619" s="353"/>
      <c r="L619" s="353"/>
      <c r="M619" s="353">
        <f>F619</f>
        <v>6</v>
      </c>
      <c r="N619" s="405"/>
      <c r="O619" s="352"/>
    </row>
    <row r="620" spans="1:15">
      <c r="A620" s="354"/>
      <c r="B620" s="354"/>
      <c r="C620" s="355"/>
      <c r="D620" s="356"/>
      <c r="E620" s="362"/>
      <c r="F620" s="358"/>
      <c r="G620" s="359"/>
      <c r="H620" s="360"/>
      <c r="I620" s="360"/>
      <c r="J620" s="360"/>
      <c r="K620" s="360"/>
      <c r="L620" s="360"/>
      <c r="M620" s="360"/>
      <c r="N620" s="405"/>
      <c r="O620" s="352"/>
    </row>
    <row r="621" spans="1:15" ht="31.5">
      <c r="A621" s="339" t="s">
        <v>1622</v>
      </c>
      <c r="B621" s="339" t="s">
        <v>160</v>
      </c>
      <c r="C621" s="340" t="s">
        <v>567</v>
      </c>
      <c r="D621" s="446" t="s">
        <v>568</v>
      </c>
      <c r="E621" s="342" t="s">
        <v>167</v>
      </c>
      <c r="F621" s="343"/>
      <c r="G621" s="344"/>
      <c r="H621" s="345"/>
      <c r="I621" s="345"/>
      <c r="J621" s="345"/>
      <c r="K621" s="345"/>
      <c r="L621" s="345"/>
      <c r="M621" s="346">
        <f>SUM(M622:M623)</f>
        <v>6</v>
      </c>
      <c r="N621" s="408"/>
      <c r="O621" s="409"/>
    </row>
    <row r="622" spans="1:15">
      <c r="A622" s="347"/>
      <c r="B622" s="347"/>
      <c r="C622" s="348"/>
      <c r="D622" s="421" t="s">
        <v>1502</v>
      </c>
      <c r="E622" s="422"/>
      <c r="F622" s="423">
        <v>6</v>
      </c>
      <c r="G622" s="352"/>
      <c r="H622" s="353"/>
      <c r="I622" s="353"/>
      <c r="J622" s="353"/>
      <c r="K622" s="353"/>
      <c r="L622" s="353"/>
      <c r="M622" s="353">
        <f>F622</f>
        <v>6</v>
      </c>
      <c r="N622" s="405"/>
      <c r="O622" s="352"/>
    </row>
    <row r="623" spans="1:15">
      <c r="A623" s="354"/>
      <c r="B623" s="354"/>
      <c r="C623" s="355"/>
      <c r="D623" s="356"/>
      <c r="E623" s="362"/>
      <c r="F623" s="358"/>
      <c r="G623" s="359"/>
      <c r="H623" s="360"/>
      <c r="I623" s="360"/>
      <c r="J623" s="360"/>
      <c r="K623" s="360"/>
      <c r="L623" s="360"/>
      <c r="M623" s="360"/>
      <c r="N623" s="405"/>
      <c r="O623" s="352"/>
    </row>
    <row r="624" spans="1:15" ht="31.5">
      <c r="A624" s="339" t="s">
        <v>1623</v>
      </c>
      <c r="B624" s="339" t="s">
        <v>160</v>
      </c>
      <c r="C624" s="340" t="s">
        <v>570</v>
      </c>
      <c r="D624" s="446" t="s">
        <v>571</v>
      </c>
      <c r="E624" s="342" t="s">
        <v>167</v>
      </c>
      <c r="F624" s="343"/>
      <c r="G624" s="344"/>
      <c r="H624" s="345"/>
      <c r="I624" s="345"/>
      <c r="J624" s="345"/>
      <c r="K624" s="345"/>
      <c r="L624" s="345"/>
      <c r="M624" s="346">
        <f>SUM(M625:M626)</f>
        <v>33</v>
      </c>
      <c r="N624" s="408"/>
      <c r="O624" s="409"/>
    </row>
    <row r="625" spans="1:15">
      <c r="A625" s="347"/>
      <c r="B625" s="347"/>
      <c r="C625" s="348"/>
      <c r="D625" s="421" t="s">
        <v>1502</v>
      </c>
      <c r="E625" s="422"/>
      <c r="F625" s="423">
        <v>33</v>
      </c>
      <c r="G625" s="352"/>
      <c r="H625" s="353"/>
      <c r="I625" s="353"/>
      <c r="J625" s="353"/>
      <c r="K625" s="353"/>
      <c r="L625" s="353"/>
      <c r="M625" s="353">
        <f>F625</f>
        <v>33</v>
      </c>
      <c r="N625" s="405"/>
      <c r="O625" s="352"/>
    </row>
    <row r="626" spans="1:15">
      <c r="A626" s="354"/>
      <c r="B626" s="354"/>
      <c r="C626" s="355"/>
      <c r="D626" s="356"/>
      <c r="E626" s="362"/>
      <c r="F626" s="358"/>
      <c r="G626" s="359"/>
      <c r="H626" s="360"/>
      <c r="I626" s="360"/>
      <c r="J626" s="360"/>
      <c r="K626" s="360"/>
      <c r="L626" s="360"/>
      <c r="M626" s="360"/>
      <c r="N626" s="405"/>
      <c r="O626" s="352"/>
    </row>
    <row r="627" spans="1:15" ht="31.5">
      <c r="A627" s="339" t="s">
        <v>1624</v>
      </c>
      <c r="B627" s="339" t="s">
        <v>160</v>
      </c>
      <c r="C627" s="340" t="s">
        <v>573</v>
      </c>
      <c r="D627" s="446" t="s">
        <v>574</v>
      </c>
      <c r="E627" s="342" t="s">
        <v>167</v>
      </c>
      <c r="F627" s="343"/>
      <c r="G627" s="344"/>
      <c r="H627" s="345"/>
      <c r="I627" s="345"/>
      <c r="J627" s="345"/>
      <c r="K627" s="345"/>
      <c r="L627" s="345"/>
      <c r="M627" s="346">
        <f>SUM(M628:M629)</f>
        <v>8</v>
      </c>
      <c r="N627" s="408"/>
      <c r="O627" s="409"/>
    </row>
    <row r="628" spans="1:15">
      <c r="A628" s="347"/>
      <c r="B628" s="347"/>
      <c r="C628" s="348"/>
      <c r="D628" s="421" t="s">
        <v>1502</v>
      </c>
      <c r="E628" s="422"/>
      <c r="F628" s="423">
        <v>8</v>
      </c>
      <c r="G628" s="352"/>
      <c r="H628" s="353"/>
      <c r="I628" s="353"/>
      <c r="J628" s="353"/>
      <c r="K628" s="353"/>
      <c r="L628" s="353"/>
      <c r="M628" s="353">
        <f>F628</f>
        <v>8</v>
      </c>
      <c r="N628" s="405"/>
      <c r="O628" s="352"/>
    </row>
    <row r="629" spans="1:15">
      <c r="A629" s="354"/>
      <c r="B629" s="354"/>
      <c r="C629" s="355"/>
      <c r="D629" s="356"/>
      <c r="E629" s="362"/>
      <c r="F629" s="358"/>
      <c r="G629" s="359"/>
      <c r="H629" s="360"/>
      <c r="I629" s="360"/>
      <c r="J629" s="360"/>
      <c r="K629" s="360"/>
      <c r="L629" s="360"/>
      <c r="M629" s="360"/>
      <c r="N629" s="405"/>
      <c r="O629" s="352"/>
    </row>
    <row r="630" spans="1:15" ht="31.5">
      <c r="A630" s="339" t="s">
        <v>1625</v>
      </c>
      <c r="B630" s="339" t="s">
        <v>160</v>
      </c>
      <c r="C630" s="340" t="s">
        <v>576</v>
      </c>
      <c r="D630" s="446" t="s">
        <v>577</v>
      </c>
      <c r="E630" s="342" t="s">
        <v>167</v>
      </c>
      <c r="F630" s="343"/>
      <c r="G630" s="344"/>
      <c r="H630" s="345"/>
      <c r="I630" s="345"/>
      <c r="J630" s="345"/>
      <c r="K630" s="345"/>
      <c r="L630" s="345"/>
      <c r="M630" s="346">
        <f>SUM(M631:M632)</f>
        <v>26</v>
      </c>
      <c r="N630" s="408"/>
      <c r="O630" s="409"/>
    </row>
    <row r="631" spans="1:15">
      <c r="A631" s="347"/>
      <c r="B631" s="347"/>
      <c r="C631" s="348"/>
      <c r="D631" s="421" t="s">
        <v>1502</v>
      </c>
      <c r="E631" s="422"/>
      <c r="F631" s="423">
        <v>26</v>
      </c>
      <c r="G631" s="352"/>
      <c r="H631" s="353"/>
      <c r="I631" s="353"/>
      <c r="J631" s="353"/>
      <c r="K631" s="353"/>
      <c r="L631" s="353"/>
      <c r="M631" s="353">
        <f>F631</f>
        <v>26</v>
      </c>
      <c r="N631" s="405"/>
      <c r="O631" s="352"/>
    </row>
    <row r="632" spans="1:15">
      <c r="A632" s="354"/>
      <c r="B632" s="354"/>
      <c r="C632" s="355"/>
      <c r="D632" s="356"/>
      <c r="E632" s="362"/>
      <c r="F632" s="358"/>
      <c r="G632" s="359"/>
      <c r="H632" s="360"/>
      <c r="I632" s="360"/>
      <c r="J632" s="360"/>
      <c r="K632" s="360"/>
      <c r="L632" s="360"/>
      <c r="M632" s="360"/>
      <c r="N632" s="405"/>
      <c r="O632" s="352"/>
    </row>
    <row r="633" spans="1:15" ht="31.5">
      <c r="A633" s="339" t="s">
        <v>1626</v>
      </c>
      <c r="B633" s="339" t="s">
        <v>160</v>
      </c>
      <c r="C633" s="340" t="s">
        <v>579</v>
      </c>
      <c r="D633" s="446" t="s">
        <v>580</v>
      </c>
      <c r="E633" s="342" t="s">
        <v>167</v>
      </c>
      <c r="F633" s="343"/>
      <c r="G633" s="344"/>
      <c r="H633" s="345"/>
      <c r="I633" s="345"/>
      <c r="J633" s="345"/>
      <c r="K633" s="345"/>
      <c r="L633" s="345"/>
      <c r="M633" s="346">
        <f>SUM(M634:M635)</f>
        <v>4</v>
      </c>
      <c r="N633" s="408"/>
      <c r="O633" s="409"/>
    </row>
    <row r="634" spans="1:15">
      <c r="A634" s="347"/>
      <c r="B634" s="347"/>
      <c r="C634" s="348"/>
      <c r="D634" s="421" t="s">
        <v>1502</v>
      </c>
      <c r="E634" s="422"/>
      <c r="F634" s="423">
        <v>4</v>
      </c>
      <c r="G634" s="352"/>
      <c r="H634" s="353"/>
      <c r="I634" s="353"/>
      <c r="J634" s="353"/>
      <c r="K634" s="353"/>
      <c r="L634" s="353"/>
      <c r="M634" s="353">
        <f>F634</f>
        <v>4</v>
      </c>
      <c r="N634" s="405"/>
      <c r="O634" s="352"/>
    </row>
    <row r="635" spans="1:15">
      <c r="A635" s="354"/>
      <c r="B635" s="354"/>
      <c r="C635" s="355"/>
      <c r="D635" s="356"/>
      <c r="E635" s="362"/>
      <c r="F635" s="358"/>
      <c r="G635" s="359"/>
      <c r="H635" s="360"/>
      <c r="I635" s="360"/>
      <c r="J635" s="360"/>
      <c r="K635" s="360"/>
      <c r="L635" s="360"/>
      <c r="M635" s="360"/>
      <c r="N635" s="405"/>
      <c r="O635" s="352"/>
    </row>
    <row r="636" spans="1:15" ht="31.5">
      <c r="A636" s="339" t="s">
        <v>1627</v>
      </c>
      <c r="B636" s="339" t="s">
        <v>160</v>
      </c>
      <c r="C636" s="340" t="s">
        <v>582</v>
      </c>
      <c r="D636" s="446" t="s">
        <v>583</v>
      </c>
      <c r="E636" s="342" t="s">
        <v>167</v>
      </c>
      <c r="F636" s="343"/>
      <c r="G636" s="344"/>
      <c r="H636" s="345"/>
      <c r="I636" s="345"/>
      <c r="J636" s="345"/>
      <c r="K636" s="345"/>
      <c r="L636" s="345"/>
      <c r="M636" s="346">
        <f>SUM(M637:M638)</f>
        <v>10</v>
      </c>
      <c r="N636" s="408"/>
      <c r="O636" s="409"/>
    </row>
    <row r="637" spans="1:15">
      <c r="A637" s="347"/>
      <c r="B637" s="347"/>
      <c r="C637" s="348"/>
      <c r="D637" s="421" t="s">
        <v>1502</v>
      </c>
      <c r="E637" s="422"/>
      <c r="F637" s="423">
        <v>10</v>
      </c>
      <c r="G637" s="352"/>
      <c r="H637" s="353"/>
      <c r="I637" s="353"/>
      <c r="J637" s="353"/>
      <c r="K637" s="353"/>
      <c r="L637" s="353"/>
      <c r="M637" s="353">
        <f>F637</f>
        <v>10</v>
      </c>
      <c r="N637" s="405"/>
      <c r="O637" s="352"/>
    </row>
    <row r="638" spans="1:15">
      <c r="A638" s="354"/>
      <c r="B638" s="354"/>
      <c r="C638" s="355"/>
      <c r="D638" s="356"/>
      <c r="E638" s="362"/>
      <c r="F638" s="358"/>
      <c r="G638" s="359"/>
      <c r="H638" s="360"/>
      <c r="I638" s="360"/>
      <c r="J638" s="360"/>
      <c r="K638" s="360"/>
      <c r="L638" s="360"/>
      <c r="M638" s="360"/>
      <c r="N638" s="405"/>
      <c r="O638" s="352"/>
    </row>
    <row r="639" spans="1:15" ht="31.5">
      <c r="A639" s="339" t="s">
        <v>1628</v>
      </c>
      <c r="B639" s="339" t="s">
        <v>160</v>
      </c>
      <c r="C639" s="340" t="s">
        <v>585</v>
      </c>
      <c r="D639" s="446" t="s">
        <v>586</v>
      </c>
      <c r="E639" s="342" t="s">
        <v>167</v>
      </c>
      <c r="F639" s="343"/>
      <c r="G639" s="344"/>
      <c r="H639" s="345"/>
      <c r="I639" s="345"/>
      <c r="J639" s="345"/>
      <c r="K639" s="345"/>
      <c r="L639" s="345"/>
      <c r="M639" s="346">
        <f>SUM(M640:M641)</f>
        <v>48</v>
      </c>
      <c r="N639" s="408"/>
      <c r="O639" s="409"/>
    </row>
    <row r="640" spans="1:15">
      <c r="A640" s="347"/>
      <c r="B640" s="347"/>
      <c r="C640" s="348"/>
      <c r="D640" s="421" t="s">
        <v>1502</v>
      </c>
      <c r="E640" s="422"/>
      <c r="F640" s="423">
        <v>48</v>
      </c>
      <c r="G640" s="352"/>
      <c r="H640" s="353"/>
      <c r="I640" s="353"/>
      <c r="J640" s="353"/>
      <c r="K640" s="353"/>
      <c r="L640" s="353"/>
      <c r="M640" s="353">
        <f>F640</f>
        <v>48</v>
      </c>
      <c r="N640" s="405"/>
      <c r="O640" s="352"/>
    </row>
    <row r="641" spans="1:15">
      <c r="A641" s="354"/>
      <c r="B641" s="354"/>
      <c r="C641" s="355"/>
      <c r="D641" s="356"/>
      <c r="E641" s="362"/>
      <c r="F641" s="358"/>
      <c r="G641" s="359"/>
      <c r="H641" s="360"/>
      <c r="I641" s="360"/>
      <c r="J641" s="360"/>
      <c r="K641" s="360"/>
      <c r="L641" s="360"/>
      <c r="M641" s="360"/>
      <c r="N641" s="405"/>
      <c r="O641" s="352"/>
    </row>
    <row r="642" spans="1:15" ht="31.5">
      <c r="A642" s="339" t="s">
        <v>1629</v>
      </c>
      <c r="B642" s="339" t="s">
        <v>160</v>
      </c>
      <c r="C642" s="340" t="s">
        <v>588</v>
      </c>
      <c r="D642" s="446" t="s">
        <v>589</v>
      </c>
      <c r="E642" s="342" t="s">
        <v>167</v>
      </c>
      <c r="F642" s="343"/>
      <c r="G642" s="344"/>
      <c r="H642" s="345"/>
      <c r="I642" s="345"/>
      <c r="J642" s="345"/>
      <c r="K642" s="345"/>
      <c r="L642" s="345"/>
      <c r="M642" s="346">
        <f>SUM(M643:M644)</f>
        <v>64</v>
      </c>
      <c r="N642" s="408"/>
      <c r="O642" s="409"/>
    </row>
    <row r="643" spans="1:15">
      <c r="A643" s="347"/>
      <c r="B643" s="347"/>
      <c r="C643" s="348"/>
      <c r="D643" s="421" t="s">
        <v>1502</v>
      </c>
      <c r="E643" s="422"/>
      <c r="F643" s="423">
        <v>64</v>
      </c>
      <c r="G643" s="352"/>
      <c r="H643" s="353"/>
      <c r="I643" s="353"/>
      <c r="J643" s="353"/>
      <c r="K643" s="353"/>
      <c r="L643" s="353"/>
      <c r="M643" s="353">
        <f>F643</f>
        <v>64</v>
      </c>
      <c r="N643" s="405"/>
      <c r="O643" s="352"/>
    </row>
    <row r="644" spans="1:15">
      <c r="A644" s="354"/>
      <c r="B644" s="354"/>
      <c r="C644" s="355"/>
      <c r="D644" s="356"/>
      <c r="E644" s="362"/>
      <c r="F644" s="358"/>
      <c r="G644" s="359"/>
      <c r="H644" s="360"/>
      <c r="I644" s="360"/>
      <c r="J644" s="360"/>
      <c r="K644" s="360"/>
      <c r="L644" s="360"/>
      <c r="M644" s="360"/>
      <c r="N644" s="405"/>
      <c r="O644" s="352"/>
    </row>
    <row r="645" spans="1:15" ht="31.5">
      <c r="A645" s="339" t="s">
        <v>1630</v>
      </c>
      <c r="B645" s="339" t="s">
        <v>160</v>
      </c>
      <c r="C645" s="340" t="s">
        <v>591</v>
      </c>
      <c r="D645" s="446" t="s">
        <v>592</v>
      </c>
      <c r="E645" s="342" t="s">
        <v>167</v>
      </c>
      <c r="F645" s="343"/>
      <c r="G645" s="344"/>
      <c r="H645" s="345"/>
      <c r="I645" s="345"/>
      <c r="J645" s="345"/>
      <c r="K645" s="345"/>
      <c r="L645" s="345"/>
      <c r="M645" s="346">
        <f>SUM(M646:M647)</f>
        <v>264</v>
      </c>
      <c r="N645" s="408"/>
      <c r="O645" s="409"/>
    </row>
    <row r="646" spans="1:15">
      <c r="A646" s="347"/>
      <c r="B646" s="347"/>
      <c r="C646" s="348"/>
      <c r="D646" s="421" t="s">
        <v>1502</v>
      </c>
      <c r="E646" s="422"/>
      <c r="F646" s="423">
        <v>264</v>
      </c>
      <c r="G646" s="352"/>
      <c r="H646" s="353"/>
      <c r="I646" s="353"/>
      <c r="J646" s="353"/>
      <c r="K646" s="353"/>
      <c r="L646" s="353"/>
      <c r="M646" s="353">
        <f>F646</f>
        <v>264</v>
      </c>
      <c r="N646" s="405"/>
      <c r="O646" s="352"/>
    </row>
    <row r="647" spans="1:15">
      <c r="A647" s="354"/>
      <c r="B647" s="354"/>
      <c r="C647" s="355"/>
      <c r="D647" s="356"/>
      <c r="E647" s="362"/>
      <c r="F647" s="358"/>
      <c r="G647" s="359"/>
      <c r="H647" s="360"/>
      <c r="I647" s="360"/>
      <c r="J647" s="360"/>
      <c r="K647" s="360"/>
      <c r="L647" s="360"/>
      <c r="M647" s="360"/>
      <c r="N647" s="405"/>
      <c r="O647" s="352"/>
    </row>
    <row r="648" spans="1:15" ht="31.5">
      <c r="A648" s="339" t="s">
        <v>1631</v>
      </c>
      <c r="B648" s="339" t="s">
        <v>160</v>
      </c>
      <c r="C648" s="340" t="s">
        <v>594</v>
      </c>
      <c r="D648" s="446" t="s">
        <v>595</v>
      </c>
      <c r="E648" s="342" t="s">
        <v>167</v>
      </c>
      <c r="F648" s="343"/>
      <c r="G648" s="344"/>
      <c r="H648" s="345"/>
      <c r="I648" s="345"/>
      <c r="J648" s="345"/>
      <c r="K648" s="345"/>
      <c r="L648" s="345"/>
      <c r="M648" s="346">
        <f>SUM(M649:M650)</f>
        <v>64</v>
      </c>
      <c r="N648" s="408"/>
      <c r="O648" s="409"/>
    </row>
    <row r="649" spans="1:15">
      <c r="A649" s="347"/>
      <c r="B649" s="347"/>
      <c r="C649" s="348"/>
      <c r="D649" s="421" t="s">
        <v>1502</v>
      </c>
      <c r="E649" s="422"/>
      <c r="F649" s="423">
        <v>64</v>
      </c>
      <c r="G649" s="352"/>
      <c r="H649" s="353"/>
      <c r="I649" s="353"/>
      <c r="J649" s="353"/>
      <c r="K649" s="353"/>
      <c r="L649" s="353"/>
      <c r="M649" s="353">
        <f>F649</f>
        <v>64</v>
      </c>
      <c r="N649" s="405"/>
      <c r="O649" s="352"/>
    </row>
    <row r="650" spans="1:15">
      <c r="A650" s="354"/>
      <c r="B650" s="354"/>
      <c r="C650" s="355"/>
      <c r="D650" s="356"/>
      <c r="E650" s="362"/>
      <c r="F650" s="358"/>
      <c r="G650" s="359"/>
      <c r="H650" s="360"/>
      <c r="I650" s="360"/>
      <c r="J650" s="360"/>
      <c r="K650" s="360"/>
      <c r="L650" s="360"/>
      <c r="M650" s="360"/>
      <c r="N650" s="405"/>
      <c r="O650" s="352"/>
    </row>
    <row r="651" spans="1:15" ht="31.5">
      <c r="A651" s="339" t="s">
        <v>1632</v>
      </c>
      <c r="B651" s="339" t="s">
        <v>160</v>
      </c>
      <c r="C651" s="340" t="s">
        <v>597</v>
      </c>
      <c r="D651" s="446" t="s">
        <v>598</v>
      </c>
      <c r="E651" s="342" t="s">
        <v>167</v>
      </c>
      <c r="F651" s="343"/>
      <c r="G651" s="344"/>
      <c r="H651" s="345"/>
      <c r="I651" s="345"/>
      <c r="J651" s="345"/>
      <c r="K651" s="345"/>
      <c r="L651" s="345"/>
      <c r="M651" s="346">
        <f>SUM(M652:M653)</f>
        <v>88</v>
      </c>
      <c r="N651" s="408"/>
      <c r="O651" s="409"/>
    </row>
    <row r="652" spans="1:15">
      <c r="A652" s="347"/>
      <c r="B652" s="347"/>
      <c r="C652" s="348"/>
      <c r="D652" s="421" t="s">
        <v>1502</v>
      </c>
      <c r="E652" s="422"/>
      <c r="F652" s="423">
        <v>88</v>
      </c>
      <c r="G652" s="352"/>
      <c r="H652" s="353"/>
      <c r="I652" s="353"/>
      <c r="J652" s="353"/>
      <c r="K652" s="353"/>
      <c r="L652" s="353"/>
      <c r="M652" s="353">
        <f>F652</f>
        <v>88</v>
      </c>
      <c r="N652" s="405"/>
      <c r="O652" s="352"/>
    </row>
    <row r="653" spans="1:15">
      <c r="A653" s="354"/>
      <c r="B653" s="354"/>
      <c r="C653" s="355"/>
      <c r="D653" s="356"/>
      <c r="E653" s="362"/>
      <c r="F653" s="358"/>
      <c r="G653" s="359"/>
      <c r="H653" s="360"/>
      <c r="I653" s="360"/>
      <c r="J653" s="360"/>
      <c r="K653" s="360"/>
      <c r="L653" s="360"/>
      <c r="M653" s="360"/>
      <c r="N653" s="405"/>
      <c r="O653" s="352"/>
    </row>
    <row r="654" spans="1:15" ht="31.5">
      <c r="A654" s="339" t="s">
        <v>1633</v>
      </c>
      <c r="B654" s="339" t="s">
        <v>160</v>
      </c>
      <c r="C654" s="340" t="s">
        <v>600</v>
      </c>
      <c r="D654" s="446" t="s">
        <v>601</v>
      </c>
      <c r="E654" s="342" t="s">
        <v>167</v>
      </c>
      <c r="F654" s="343"/>
      <c r="G654" s="344"/>
      <c r="H654" s="345"/>
      <c r="I654" s="345"/>
      <c r="J654" s="345"/>
      <c r="K654" s="345"/>
      <c r="L654" s="345"/>
      <c r="M654" s="346">
        <f>SUM(M655:M656)</f>
        <v>16</v>
      </c>
      <c r="N654" s="408"/>
      <c r="O654" s="409"/>
    </row>
    <row r="655" spans="1:15">
      <c r="A655" s="347"/>
      <c r="B655" s="347"/>
      <c r="C655" s="348"/>
      <c r="D655" s="421" t="s">
        <v>1502</v>
      </c>
      <c r="E655" s="422"/>
      <c r="F655" s="423">
        <v>16</v>
      </c>
      <c r="G655" s="352"/>
      <c r="H655" s="353"/>
      <c r="I655" s="353"/>
      <c r="J655" s="353"/>
      <c r="K655" s="353"/>
      <c r="L655" s="353"/>
      <c r="M655" s="353">
        <f>F655</f>
        <v>16</v>
      </c>
      <c r="N655" s="405"/>
      <c r="O655" s="352"/>
    </row>
    <row r="656" spans="1:15">
      <c r="A656" s="354"/>
      <c r="B656" s="354"/>
      <c r="C656" s="355"/>
      <c r="D656" s="356"/>
      <c r="E656" s="362"/>
      <c r="F656" s="358"/>
      <c r="G656" s="359"/>
      <c r="H656" s="360"/>
      <c r="I656" s="360"/>
      <c r="J656" s="360"/>
      <c r="K656" s="360"/>
      <c r="L656" s="360"/>
      <c r="M656" s="360"/>
      <c r="N656" s="405"/>
      <c r="O656" s="352"/>
    </row>
    <row r="657" spans="1:15" ht="31.5">
      <c r="A657" s="339" t="s">
        <v>1634</v>
      </c>
      <c r="B657" s="339" t="s">
        <v>160</v>
      </c>
      <c r="C657" s="340" t="s">
        <v>603</v>
      </c>
      <c r="D657" s="446" t="s">
        <v>604</v>
      </c>
      <c r="E657" s="342" t="s">
        <v>167</v>
      </c>
      <c r="F657" s="343"/>
      <c r="G657" s="344"/>
      <c r="H657" s="345"/>
      <c r="I657" s="345"/>
      <c r="J657" s="345"/>
      <c r="K657" s="345"/>
      <c r="L657" s="345"/>
      <c r="M657" s="346">
        <f>SUM(M658:M659)</f>
        <v>4</v>
      </c>
      <c r="N657" s="408"/>
      <c r="O657" s="409"/>
    </row>
    <row r="658" spans="1:15">
      <c r="A658" s="347"/>
      <c r="B658" s="347"/>
      <c r="C658" s="348"/>
      <c r="D658" s="421" t="s">
        <v>1502</v>
      </c>
      <c r="E658" s="422"/>
      <c r="F658" s="423">
        <v>4</v>
      </c>
      <c r="G658" s="352"/>
      <c r="H658" s="353"/>
      <c r="I658" s="353"/>
      <c r="J658" s="353"/>
      <c r="K658" s="353"/>
      <c r="L658" s="353"/>
      <c r="M658" s="353">
        <f>F658</f>
        <v>4</v>
      </c>
      <c r="N658" s="405"/>
      <c r="O658" s="352"/>
    </row>
    <row r="659" spans="1:15">
      <c r="A659" s="354"/>
      <c r="B659" s="354"/>
      <c r="C659" s="355"/>
      <c r="D659" s="356"/>
      <c r="E659" s="362"/>
      <c r="F659" s="358"/>
      <c r="G659" s="359"/>
      <c r="H659" s="360"/>
      <c r="I659" s="360"/>
      <c r="J659" s="360"/>
      <c r="K659" s="360"/>
      <c r="L659" s="360"/>
      <c r="M659" s="360"/>
      <c r="N659" s="405"/>
      <c r="O659" s="352"/>
    </row>
    <row r="660" spans="1:15" ht="31.5">
      <c r="A660" s="339" t="s">
        <v>1635</v>
      </c>
      <c r="B660" s="339" t="s">
        <v>160</v>
      </c>
      <c r="C660" s="340" t="s">
        <v>606</v>
      </c>
      <c r="D660" s="446" t="s">
        <v>607</v>
      </c>
      <c r="E660" s="342" t="s">
        <v>167</v>
      </c>
      <c r="F660" s="343"/>
      <c r="G660" s="344"/>
      <c r="H660" s="345"/>
      <c r="I660" s="345"/>
      <c r="J660" s="345"/>
      <c r="K660" s="345"/>
      <c r="L660" s="345"/>
      <c r="M660" s="346">
        <f>SUM(M661:M662)</f>
        <v>2</v>
      </c>
      <c r="N660" s="408"/>
      <c r="O660" s="409"/>
    </row>
    <row r="661" spans="1:15">
      <c r="A661" s="347"/>
      <c r="B661" s="347"/>
      <c r="C661" s="348"/>
      <c r="D661" s="421" t="s">
        <v>1502</v>
      </c>
      <c r="E661" s="422"/>
      <c r="F661" s="423">
        <v>2</v>
      </c>
      <c r="G661" s="352"/>
      <c r="H661" s="353"/>
      <c r="I661" s="353"/>
      <c r="J661" s="353"/>
      <c r="K661" s="353"/>
      <c r="L661" s="353"/>
      <c r="M661" s="353">
        <f>F661</f>
        <v>2</v>
      </c>
      <c r="N661" s="405"/>
      <c r="O661" s="352"/>
    </row>
    <row r="662" spans="1:15">
      <c r="A662" s="354"/>
      <c r="B662" s="354"/>
      <c r="C662" s="355"/>
      <c r="D662" s="356"/>
      <c r="E662" s="362"/>
      <c r="F662" s="358"/>
      <c r="G662" s="359"/>
      <c r="H662" s="360"/>
      <c r="I662" s="360"/>
      <c r="J662" s="360"/>
      <c r="K662" s="360"/>
      <c r="L662" s="360"/>
      <c r="M662" s="360"/>
      <c r="N662" s="405"/>
      <c r="O662" s="352"/>
    </row>
    <row r="663" spans="1:15">
      <c r="A663" s="447" t="s">
        <v>1636</v>
      </c>
      <c r="B663" s="448"/>
      <c r="C663" s="449"/>
      <c r="D663" s="450" t="s">
        <v>609</v>
      </c>
      <c r="E663" s="451"/>
      <c r="F663" s="452"/>
      <c r="G663" s="453"/>
      <c r="H663" s="453"/>
      <c r="I663" s="453"/>
      <c r="J663" s="453"/>
      <c r="K663" s="453"/>
      <c r="L663" s="453"/>
      <c r="M663" s="454"/>
      <c r="N663" s="463"/>
      <c r="O663" s="454"/>
    </row>
    <row r="664" spans="1:15" ht="31.5">
      <c r="A664" s="339" t="s">
        <v>1637</v>
      </c>
      <c r="B664" s="339" t="s">
        <v>160</v>
      </c>
      <c r="C664" s="340" t="s">
        <v>611</v>
      </c>
      <c r="D664" s="446" t="s">
        <v>612</v>
      </c>
      <c r="E664" s="342" t="s">
        <v>167</v>
      </c>
      <c r="F664" s="343"/>
      <c r="G664" s="344"/>
      <c r="H664" s="345"/>
      <c r="I664" s="345"/>
      <c r="J664" s="345"/>
      <c r="K664" s="345"/>
      <c r="L664" s="345"/>
      <c r="M664" s="346">
        <f>SUM(M665:M666)</f>
        <v>10</v>
      </c>
      <c r="N664" s="408"/>
      <c r="O664" s="409"/>
    </row>
    <row r="665" spans="1:15">
      <c r="A665" s="347"/>
      <c r="B665" s="347"/>
      <c r="C665" s="348"/>
      <c r="D665" s="421" t="s">
        <v>1502</v>
      </c>
      <c r="E665" s="422"/>
      <c r="F665" s="423">
        <v>10</v>
      </c>
      <c r="G665" s="352"/>
      <c r="H665" s="353"/>
      <c r="I665" s="353"/>
      <c r="J665" s="353"/>
      <c r="K665" s="353"/>
      <c r="L665" s="353"/>
      <c r="M665" s="353">
        <f>F665</f>
        <v>10</v>
      </c>
      <c r="N665" s="405"/>
      <c r="O665" s="352"/>
    </row>
    <row r="666" spans="1:15">
      <c r="A666" s="354"/>
      <c r="B666" s="354"/>
      <c r="C666" s="355"/>
      <c r="D666" s="356"/>
      <c r="E666" s="362"/>
      <c r="F666" s="358"/>
      <c r="G666" s="359"/>
      <c r="H666" s="360"/>
      <c r="I666" s="360"/>
      <c r="J666" s="360"/>
      <c r="K666" s="360"/>
      <c r="L666" s="360"/>
      <c r="M666" s="360"/>
      <c r="N666" s="405"/>
      <c r="O666" s="352"/>
    </row>
    <row r="667" spans="1:15" ht="31.5">
      <c r="A667" s="339" t="s">
        <v>1638</v>
      </c>
      <c r="B667" s="339" t="s">
        <v>160</v>
      </c>
      <c r="C667" s="340" t="s">
        <v>614</v>
      </c>
      <c r="D667" s="446" t="s">
        <v>615</v>
      </c>
      <c r="E667" s="342" t="s">
        <v>167</v>
      </c>
      <c r="F667" s="343"/>
      <c r="G667" s="344"/>
      <c r="H667" s="345"/>
      <c r="I667" s="345"/>
      <c r="J667" s="345"/>
      <c r="K667" s="345"/>
      <c r="L667" s="345"/>
      <c r="M667" s="346">
        <f>SUM(M668:M669)</f>
        <v>5</v>
      </c>
      <c r="N667" s="408"/>
      <c r="O667" s="409"/>
    </row>
    <row r="668" spans="1:15">
      <c r="A668" s="347"/>
      <c r="B668" s="347"/>
      <c r="C668" s="348"/>
      <c r="D668" s="421" t="s">
        <v>1502</v>
      </c>
      <c r="E668" s="422"/>
      <c r="F668" s="423">
        <v>5</v>
      </c>
      <c r="G668" s="352"/>
      <c r="H668" s="353"/>
      <c r="I668" s="353"/>
      <c r="J668" s="353"/>
      <c r="K668" s="353"/>
      <c r="L668" s="353"/>
      <c r="M668" s="353">
        <f>F668</f>
        <v>5</v>
      </c>
      <c r="N668" s="405"/>
      <c r="O668" s="352"/>
    </row>
    <row r="669" spans="1:15">
      <c r="A669" s="354"/>
      <c r="B669" s="354"/>
      <c r="C669" s="355"/>
      <c r="D669" s="356"/>
      <c r="E669" s="362"/>
      <c r="F669" s="358"/>
      <c r="G669" s="359"/>
      <c r="H669" s="360"/>
      <c r="I669" s="360"/>
      <c r="J669" s="360"/>
      <c r="K669" s="360"/>
      <c r="L669" s="360"/>
      <c r="M669" s="360"/>
      <c r="N669" s="405"/>
      <c r="O669" s="352"/>
    </row>
    <row r="670" spans="1:15" ht="31.5">
      <c r="A670" s="339" t="s">
        <v>1639</v>
      </c>
      <c r="B670" s="339" t="s">
        <v>160</v>
      </c>
      <c r="C670" s="340" t="s">
        <v>617</v>
      </c>
      <c r="D670" s="446" t="s">
        <v>618</v>
      </c>
      <c r="E670" s="342" t="s">
        <v>167</v>
      </c>
      <c r="F670" s="343"/>
      <c r="G670" s="344"/>
      <c r="H670" s="345"/>
      <c r="I670" s="345"/>
      <c r="J670" s="345"/>
      <c r="K670" s="345"/>
      <c r="L670" s="345"/>
      <c r="M670" s="346">
        <f>SUM(M671:M672)</f>
        <v>16</v>
      </c>
      <c r="N670" s="408"/>
      <c r="O670" s="409"/>
    </row>
    <row r="671" spans="1:15">
      <c r="A671" s="347"/>
      <c r="B671" s="347"/>
      <c r="C671" s="348"/>
      <c r="D671" s="421" t="s">
        <v>1502</v>
      </c>
      <c r="E671" s="422"/>
      <c r="F671" s="423">
        <v>16</v>
      </c>
      <c r="G671" s="352"/>
      <c r="H671" s="353"/>
      <c r="I671" s="353"/>
      <c r="J671" s="353"/>
      <c r="K671" s="353"/>
      <c r="L671" s="353"/>
      <c r="M671" s="353">
        <f>F671</f>
        <v>16</v>
      </c>
      <c r="N671" s="405"/>
      <c r="O671" s="352"/>
    </row>
    <row r="672" spans="1:15">
      <c r="A672" s="354"/>
      <c r="B672" s="354"/>
      <c r="C672" s="355"/>
      <c r="D672" s="356"/>
      <c r="E672" s="362"/>
      <c r="F672" s="358"/>
      <c r="G672" s="359"/>
      <c r="H672" s="360"/>
      <c r="I672" s="360"/>
      <c r="J672" s="360"/>
      <c r="K672" s="360"/>
      <c r="L672" s="360"/>
      <c r="M672" s="360"/>
      <c r="N672" s="405"/>
      <c r="O672" s="352"/>
    </row>
    <row r="673" spans="1:15" ht="31.5">
      <c r="A673" s="339" t="s">
        <v>1640</v>
      </c>
      <c r="B673" s="339" t="s">
        <v>160</v>
      </c>
      <c r="C673" s="340" t="s">
        <v>620</v>
      </c>
      <c r="D673" s="446" t="s">
        <v>621</v>
      </c>
      <c r="E673" s="342" t="s">
        <v>167</v>
      </c>
      <c r="F673" s="343"/>
      <c r="G673" s="344"/>
      <c r="H673" s="345"/>
      <c r="I673" s="345"/>
      <c r="J673" s="345"/>
      <c r="K673" s="345"/>
      <c r="L673" s="345"/>
      <c r="M673" s="346">
        <f>SUM(M674:M675)</f>
        <v>1</v>
      </c>
      <c r="N673" s="408"/>
      <c r="O673" s="409"/>
    </row>
    <row r="674" spans="1:15">
      <c r="A674" s="347"/>
      <c r="B674" s="347"/>
      <c r="C674" s="348"/>
      <c r="D674" s="421" t="s">
        <v>1502</v>
      </c>
      <c r="E674" s="422"/>
      <c r="F674" s="423">
        <v>1</v>
      </c>
      <c r="G674" s="352"/>
      <c r="H674" s="353"/>
      <c r="I674" s="353"/>
      <c r="J674" s="353"/>
      <c r="K674" s="353"/>
      <c r="L674" s="353"/>
      <c r="M674" s="353">
        <f>F674</f>
        <v>1</v>
      </c>
      <c r="N674" s="405"/>
      <c r="O674" s="352"/>
    </row>
    <row r="675" spans="1:15">
      <c r="A675" s="354"/>
      <c r="B675" s="354"/>
      <c r="C675" s="355"/>
      <c r="D675" s="356"/>
      <c r="E675" s="362"/>
      <c r="F675" s="358"/>
      <c r="G675" s="359"/>
      <c r="H675" s="360"/>
      <c r="I675" s="360"/>
      <c r="J675" s="360"/>
      <c r="K675" s="360"/>
      <c r="L675" s="360"/>
      <c r="M675" s="360"/>
      <c r="N675" s="405"/>
      <c r="O675" s="352"/>
    </row>
    <row r="676" spans="1:15" ht="31.5">
      <c r="A676" s="339" t="s">
        <v>1641</v>
      </c>
      <c r="B676" s="339" t="s">
        <v>2</v>
      </c>
      <c r="C676" s="340">
        <v>97457</v>
      </c>
      <c r="D676" s="446" t="s">
        <v>623</v>
      </c>
      <c r="E676" s="342" t="s">
        <v>167</v>
      </c>
      <c r="F676" s="343"/>
      <c r="G676" s="344"/>
      <c r="H676" s="345"/>
      <c r="I676" s="345"/>
      <c r="J676" s="345"/>
      <c r="K676" s="345"/>
      <c r="L676" s="345"/>
      <c r="M676" s="346">
        <f>SUM(M677:M678)</f>
        <v>12</v>
      </c>
      <c r="N676" s="408"/>
      <c r="O676" s="409"/>
    </row>
    <row r="677" spans="1:15">
      <c r="A677" s="347"/>
      <c r="B677" s="347"/>
      <c r="C677" s="348"/>
      <c r="D677" s="421" t="s">
        <v>1502</v>
      </c>
      <c r="E677" s="422"/>
      <c r="F677" s="423">
        <v>12</v>
      </c>
      <c r="G677" s="352"/>
      <c r="H677" s="353"/>
      <c r="I677" s="353"/>
      <c r="J677" s="353"/>
      <c r="K677" s="353"/>
      <c r="L677" s="353"/>
      <c r="M677" s="353">
        <f>F677</f>
        <v>12</v>
      </c>
      <c r="N677" s="405"/>
      <c r="O677" s="352"/>
    </row>
    <row r="678" spans="1:15">
      <c r="A678" s="354"/>
      <c r="B678" s="354"/>
      <c r="C678" s="355"/>
      <c r="D678" s="356"/>
      <c r="E678" s="362"/>
      <c r="F678" s="358"/>
      <c r="G678" s="359"/>
      <c r="H678" s="360"/>
      <c r="I678" s="360"/>
      <c r="J678" s="360"/>
      <c r="K678" s="360"/>
      <c r="L678" s="360"/>
      <c r="M678" s="360"/>
      <c r="N678" s="405"/>
      <c r="O678" s="352"/>
    </row>
    <row r="679" spans="1:15" ht="31.5">
      <c r="A679" s="339" t="s">
        <v>1642</v>
      </c>
      <c r="B679" s="339" t="s">
        <v>160</v>
      </c>
      <c r="C679" s="340" t="s">
        <v>625</v>
      </c>
      <c r="D679" s="446" t="s">
        <v>626</v>
      </c>
      <c r="E679" s="342" t="s">
        <v>167</v>
      </c>
      <c r="F679" s="343"/>
      <c r="G679" s="344"/>
      <c r="H679" s="345"/>
      <c r="I679" s="345"/>
      <c r="J679" s="345"/>
      <c r="K679" s="345"/>
      <c r="L679" s="345"/>
      <c r="M679" s="346">
        <f>SUM(M680:M681)</f>
        <v>2</v>
      </c>
      <c r="N679" s="408"/>
      <c r="O679" s="409"/>
    </row>
    <row r="680" spans="1:15">
      <c r="A680" s="347"/>
      <c r="B680" s="347"/>
      <c r="C680" s="348"/>
      <c r="D680" s="421" t="s">
        <v>1502</v>
      </c>
      <c r="E680" s="422"/>
      <c r="F680" s="423">
        <v>2</v>
      </c>
      <c r="G680" s="352"/>
      <c r="H680" s="353"/>
      <c r="I680" s="353"/>
      <c r="J680" s="353"/>
      <c r="K680" s="353"/>
      <c r="L680" s="353"/>
      <c r="M680" s="353">
        <f>F680</f>
        <v>2</v>
      </c>
      <c r="N680" s="405"/>
      <c r="O680" s="352"/>
    </row>
    <row r="681" spans="1:15">
      <c r="A681" s="354"/>
      <c r="B681" s="354"/>
      <c r="C681" s="355"/>
      <c r="D681" s="356"/>
      <c r="E681" s="362"/>
      <c r="F681" s="358"/>
      <c r="G681" s="359"/>
      <c r="H681" s="360"/>
      <c r="I681" s="360"/>
      <c r="J681" s="360"/>
      <c r="K681" s="360"/>
      <c r="L681" s="360"/>
      <c r="M681" s="360"/>
      <c r="N681" s="405"/>
      <c r="O681" s="352"/>
    </row>
    <row r="682" spans="1:15" ht="31.5">
      <c r="A682" s="339" t="s">
        <v>1643</v>
      </c>
      <c r="B682" s="339" t="s">
        <v>160</v>
      </c>
      <c r="C682" s="340" t="s">
        <v>628</v>
      </c>
      <c r="D682" s="446" t="s">
        <v>629</v>
      </c>
      <c r="E682" s="342" t="s">
        <v>167</v>
      </c>
      <c r="F682" s="343"/>
      <c r="G682" s="344"/>
      <c r="H682" s="345"/>
      <c r="I682" s="345"/>
      <c r="J682" s="345"/>
      <c r="K682" s="345"/>
      <c r="L682" s="345"/>
      <c r="M682" s="346">
        <f>SUM(M683:M684)</f>
        <v>9</v>
      </c>
      <c r="N682" s="408"/>
      <c r="O682" s="409"/>
    </row>
    <row r="683" spans="1:15">
      <c r="A683" s="347"/>
      <c r="B683" s="347"/>
      <c r="C683" s="348"/>
      <c r="D683" s="421" t="s">
        <v>1502</v>
      </c>
      <c r="E683" s="422"/>
      <c r="F683" s="423">
        <v>9</v>
      </c>
      <c r="G683" s="352"/>
      <c r="H683" s="353"/>
      <c r="I683" s="353"/>
      <c r="J683" s="353"/>
      <c r="K683" s="353"/>
      <c r="L683" s="353"/>
      <c r="M683" s="353">
        <f>F683</f>
        <v>9</v>
      </c>
      <c r="N683" s="405"/>
      <c r="O683" s="352"/>
    </row>
    <row r="684" spans="1:15">
      <c r="A684" s="354"/>
      <c r="B684" s="354"/>
      <c r="C684" s="355"/>
      <c r="D684" s="356"/>
      <c r="E684" s="362"/>
      <c r="F684" s="358"/>
      <c r="G684" s="359"/>
      <c r="H684" s="360"/>
      <c r="I684" s="360"/>
      <c r="J684" s="360"/>
      <c r="K684" s="360"/>
      <c r="L684" s="360"/>
      <c r="M684" s="360"/>
      <c r="N684" s="405"/>
      <c r="O684" s="352"/>
    </row>
    <row r="685" spans="1:15" ht="31.5">
      <c r="A685" s="339" t="s">
        <v>1644</v>
      </c>
      <c r="B685" s="339" t="s">
        <v>2</v>
      </c>
      <c r="C685" s="340">
        <v>97456</v>
      </c>
      <c r="D685" s="446" t="s">
        <v>631</v>
      </c>
      <c r="E685" s="342" t="s">
        <v>167</v>
      </c>
      <c r="F685" s="343"/>
      <c r="G685" s="344"/>
      <c r="H685" s="345"/>
      <c r="I685" s="345"/>
      <c r="J685" s="345"/>
      <c r="K685" s="345"/>
      <c r="L685" s="345"/>
      <c r="M685" s="346">
        <f>SUM(M686:M687)</f>
        <v>2</v>
      </c>
      <c r="N685" s="408"/>
      <c r="O685" s="409"/>
    </row>
    <row r="686" spans="1:15">
      <c r="A686" s="347"/>
      <c r="B686" s="347"/>
      <c r="C686" s="348"/>
      <c r="D686" s="421" t="s">
        <v>1502</v>
      </c>
      <c r="E686" s="422"/>
      <c r="F686" s="423">
        <v>2</v>
      </c>
      <c r="G686" s="352"/>
      <c r="H686" s="353"/>
      <c r="I686" s="353"/>
      <c r="J686" s="353"/>
      <c r="K686" s="353"/>
      <c r="L686" s="353"/>
      <c r="M686" s="353">
        <f>F686</f>
        <v>2</v>
      </c>
      <c r="N686" s="405"/>
      <c r="O686" s="352"/>
    </row>
    <row r="687" spans="1:15">
      <c r="A687" s="354"/>
      <c r="B687" s="354"/>
      <c r="C687" s="355"/>
      <c r="D687" s="356"/>
      <c r="E687" s="362"/>
      <c r="F687" s="358"/>
      <c r="G687" s="359"/>
      <c r="H687" s="360"/>
      <c r="I687" s="360"/>
      <c r="J687" s="360"/>
      <c r="K687" s="360"/>
      <c r="L687" s="360"/>
      <c r="M687" s="360"/>
      <c r="N687" s="405"/>
      <c r="O687" s="352"/>
    </row>
    <row r="688" spans="1:15" ht="31.5">
      <c r="A688" s="339" t="s">
        <v>1645</v>
      </c>
      <c r="B688" s="339" t="s">
        <v>160</v>
      </c>
      <c r="C688" s="340" t="s">
        <v>633</v>
      </c>
      <c r="D688" s="446" t="s">
        <v>634</v>
      </c>
      <c r="E688" s="342" t="s">
        <v>167</v>
      </c>
      <c r="F688" s="343"/>
      <c r="G688" s="344"/>
      <c r="H688" s="345"/>
      <c r="I688" s="345"/>
      <c r="J688" s="345"/>
      <c r="K688" s="345"/>
      <c r="L688" s="345"/>
      <c r="M688" s="346">
        <f>SUM(M689:M690)</f>
        <v>1</v>
      </c>
      <c r="N688" s="408"/>
      <c r="O688" s="409"/>
    </row>
    <row r="689" spans="1:15">
      <c r="A689" s="347"/>
      <c r="B689" s="347"/>
      <c r="C689" s="348"/>
      <c r="D689" s="421" t="s">
        <v>1502</v>
      </c>
      <c r="E689" s="422"/>
      <c r="F689" s="423">
        <v>1</v>
      </c>
      <c r="G689" s="352"/>
      <c r="H689" s="353"/>
      <c r="I689" s="353"/>
      <c r="J689" s="353"/>
      <c r="K689" s="353"/>
      <c r="L689" s="353"/>
      <c r="M689" s="353">
        <f>F689</f>
        <v>1</v>
      </c>
      <c r="N689" s="405"/>
      <c r="O689" s="352"/>
    </row>
    <row r="690" spans="1:15">
      <c r="A690" s="354"/>
      <c r="B690" s="354"/>
      <c r="C690" s="355"/>
      <c r="D690" s="356"/>
      <c r="E690" s="362"/>
      <c r="F690" s="358"/>
      <c r="G690" s="359"/>
      <c r="H690" s="360"/>
      <c r="I690" s="360"/>
      <c r="J690" s="360"/>
      <c r="K690" s="360"/>
      <c r="L690" s="360"/>
      <c r="M690" s="360"/>
      <c r="N690" s="405"/>
      <c r="O690" s="352"/>
    </row>
    <row r="691" spans="1:15" ht="31.5">
      <c r="A691" s="339" t="s">
        <v>1646</v>
      </c>
      <c r="B691" s="339" t="s">
        <v>160</v>
      </c>
      <c r="C691" s="340" t="s">
        <v>636</v>
      </c>
      <c r="D691" s="446" t="s">
        <v>637</v>
      </c>
      <c r="E691" s="342" t="s">
        <v>167</v>
      </c>
      <c r="F691" s="343"/>
      <c r="G691" s="344"/>
      <c r="H691" s="345"/>
      <c r="I691" s="345"/>
      <c r="J691" s="345"/>
      <c r="K691" s="345"/>
      <c r="L691" s="345"/>
      <c r="M691" s="346">
        <f>SUM(M692:M693)</f>
        <v>1</v>
      </c>
      <c r="N691" s="408"/>
      <c r="O691" s="409"/>
    </row>
    <row r="692" spans="1:15">
      <c r="A692" s="347"/>
      <c r="B692" s="347"/>
      <c r="C692" s="348"/>
      <c r="D692" s="421" t="s">
        <v>1502</v>
      </c>
      <c r="E692" s="422"/>
      <c r="F692" s="423">
        <v>1</v>
      </c>
      <c r="G692" s="352"/>
      <c r="H692" s="353"/>
      <c r="I692" s="353"/>
      <c r="J692" s="353"/>
      <c r="K692" s="353"/>
      <c r="L692" s="353"/>
      <c r="M692" s="353">
        <f>F692</f>
        <v>1</v>
      </c>
      <c r="N692" s="405"/>
      <c r="O692" s="352"/>
    </row>
    <row r="693" spans="1:15">
      <c r="A693" s="354"/>
      <c r="B693" s="354"/>
      <c r="C693" s="355"/>
      <c r="D693" s="356"/>
      <c r="E693" s="362"/>
      <c r="F693" s="358"/>
      <c r="G693" s="359"/>
      <c r="H693" s="360"/>
      <c r="I693" s="360"/>
      <c r="J693" s="360"/>
      <c r="K693" s="360"/>
      <c r="L693" s="360"/>
      <c r="M693" s="360"/>
      <c r="N693" s="405"/>
      <c r="O693" s="352"/>
    </row>
    <row r="694" spans="1:15" ht="31.5">
      <c r="A694" s="339" t="s">
        <v>1647</v>
      </c>
      <c r="B694" s="339" t="s">
        <v>160</v>
      </c>
      <c r="C694" s="340" t="s">
        <v>639</v>
      </c>
      <c r="D694" s="446" t="s">
        <v>640</v>
      </c>
      <c r="E694" s="342" t="s">
        <v>167</v>
      </c>
      <c r="F694" s="343"/>
      <c r="G694" s="344"/>
      <c r="H694" s="345"/>
      <c r="I694" s="345"/>
      <c r="J694" s="345"/>
      <c r="K694" s="345"/>
      <c r="L694" s="345"/>
      <c r="M694" s="346">
        <f>SUM(M695:M696)</f>
        <v>2</v>
      </c>
      <c r="N694" s="408"/>
      <c r="O694" s="409"/>
    </row>
    <row r="695" spans="1:15">
      <c r="A695" s="347"/>
      <c r="B695" s="347"/>
      <c r="C695" s="348"/>
      <c r="D695" s="421" t="s">
        <v>1502</v>
      </c>
      <c r="E695" s="422"/>
      <c r="F695" s="423">
        <v>2</v>
      </c>
      <c r="G695" s="352"/>
      <c r="H695" s="353"/>
      <c r="I695" s="353"/>
      <c r="J695" s="353"/>
      <c r="K695" s="353"/>
      <c r="L695" s="353"/>
      <c r="M695" s="353">
        <f>F695</f>
        <v>2</v>
      </c>
      <c r="N695" s="405"/>
      <c r="O695" s="352"/>
    </row>
    <row r="696" spans="1:15">
      <c r="A696" s="354"/>
      <c r="B696" s="354"/>
      <c r="C696" s="355"/>
      <c r="D696" s="356"/>
      <c r="E696" s="362"/>
      <c r="F696" s="358"/>
      <c r="G696" s="359"/>
      <c r="H696" s="360"/>
      <c r="I696" s="360"/>
      <c r="J696" s="360"/>
      <c r="K696" s="360"/>
      <c r="L696" s="360"/>
      <c r="M696" s="360"/>
      <c r="N696" s="405"/>
      <c r="O696" s="352"/>
    </row>
    <row r="697" spans="1:15" ht="31.5">
      <c r="A697" s="339" t="s">
        <v>1648</v>
      </c>
      <c r="B697" s="339" t="s">
        <v>160</v>
      </c>
      <c r="C697" s="340" t="s">
        <v>642</v>
      </c>
      <c r="D697" s="446" t="s">
        <v>643</v>
      </c>
      <c r="E697" s="342" t="s">
        <v>167</v>
      </c>
      <c r="F697" s="343"/>
      <c r="G697" s="344"/>
      <c r="H697" s="345"/>
      <c r="I697" s="345"/>
      <c r="J697" s="345"/>
      <c r="K697" s="345"/>
      <c r="L697" s="345"/>
      <c r="M697" s="346">
        <f>SUM(M698:M699)</f>
        <v>3</v>
      </c>
      <c r="N697" s="408"/>
      <c r="O697" s="409"/>
    </row>
    <row r="698" spans="1:15">
      <c r="A698" s="347"/>
      <c r="B698" s="347"/>
      <c r="C698" s="348"/>
      <c r="D698" s="421" t="s">
        <v>1502</v>
      </c>
      <c r="E698" s="422"/>
      <c r="F698" s="423">
        <v>3</v>
      </c>
      <c r="G698" s="352"/>
      <c r="H698" s="353"/>
      <c r="I698" s="353"/>
      <c r="J698" s="353"/>
      <c r="K698" s="353"/>
      <c r="L698" s="353"/>
      <c r="M698" s="353">
        <f>F698</f>
        <v>3</v>
      </c>
      <c r="N698" s="405"/>
      <c r="O698" s="352"/>
    </row>
    <row r="699" spans="1:15">
      <c r="A699" s="354"/>
      <c r="B699" s="354"/>
      <c r="C699" s="355"/>
      <c r="D699" s="356"/>
      <c r="E699" s="362"/>
      <c r="F699" s="358"/>
      <c r="G699" s="359"/>
      <c r="H699" s="360"/>
      <c r="I699" s="360"/>
      <c r="J699" s="360"/>
      <c r="K699" s="360"/>
      <c r="L699" s="360"/>
      <c r="M699" s="360"/>
      <c r="N699" s="405"/>
      <c r="O699" s="352"/>
    </row>
    <row r="700" spans="1:15" ht="31.5">
      <c r="A700" s="339" t="s">
        <v>1649</v>
      </c>
      <c r="B700" s="339" t="s">
        <v>160</v>
      </c>
      <c r="C700" s="340" t="s">
        <v>645</v>
      </c>
      <c r="D700" s="446" t="s">
        <v>646</v>
      </c>
      <c r="E700" s="342" t="s">
        <v>167</v>
      </c>
      <c r="F700" s="343"/>
      <c r="G700" s="344"/>
      <c r="H700" s="345"/>
      <c r="I700" s="345"/>
      <c r="J700" s="345"/>
      <c r="K700" s="345"/>
      <c r="L700" s="345"/>
      <c r="M700" s="346">
        <f>SUM(M701:M702)</f>
        <v>2</v>
      </c>
      <c r="N700" s="408"/>
      <c r="O700" s="409"/>
    </row>
    <row r="701" spans="1:15">
      <c r="A701" s="347"/>
      <c r="B701" s="347"/>
      <c r="C701" s="348"/>
      <c r="D701" s="421" t="s">
        <v>1502</v>
      </c>
      <c r="E701" s="422"/>
      <c r="F701" s="423">
        <v>2</v>
      </c>
      <c r="G701" s="352"/>
      <c r="H701" s="353"/>
      <c r="I701" s="353"/>
      <c r="J701" s="353"/>
      <c r="K701" s="353"/>
      <c r="L701" s="353"/>
      <c r="M701" s="353">
        <f>F701</f>
        <v>2</v>
      </c>
      <c r="N701" s="405"/>
      <c r="O701" s="352"/>
    </row>
    <row r="702" spans="1:15">
      <c r="A702" s="354"/>
      <c r="B702" s="354"/>
      <c r="C702" s="355"/>
      <c r="D702" s="356"/>
      <c r="E702" s="362"/>
      <c r="F702" s="358"/>
      <c r="G702" s="359"/>
      <c r="H702" s="360"/>
      <c r="I702" s="360"/>
      <c r="J702" s="360"/>
      <c r="K702" s="360"/>
      <c r="L702" s="360"/>
      <c r="M702" s="360"/>
      <c r="N702" s="405"/>
      <c r="O702" s="352"/>
    </row>
    <row r="703" spans="1:15" ht="31.5">
      <c r="A703" s="339" t="s">
        <v>1650</v>
      </c>
      <c r="B703" s="339" t="s">
        <v>160</v>
      </c>
      <c r="C703" s="340" t="s">
        <v>648</v>
      </c>
      <c r="D703" s="446" t="s">
        <v>649</v>
      </c>
      <c r="E703" s="342" t="s">
        <v>167</v>
      </c>
      <c r="F703" s="343"/>
      <c r="G703" s="344"/>
      <c r="H703" s="345"/>
      <c r="I703" s="345"/>
      <c r="J703" s="345"/>
      <c r="K703" s="345"/>
      <c r="L703" s="345"/>
      <c r="M703" s="346">
        <f>SUM(M704:M705)</f>
        <v>2</v>
      </c>
      <c r="N703" s="408"/>
      <c r="O703" s="409"/>
    </row>
    <row r="704" spans="1:15">
      <c r="A704" s="347"/>
      <c r="B704" s="347"/>
      <c r="C704" s="348"/>
      <c r="D704" s="421" t="s">
        <v>1502</v>
      </c>
      <c r="E704" s="422"/>
      <c r="F704" s="423">
        <v>2</v>
      </c>
      <c r="G704" s="352"/>
      <c r="H704" s="353"/>
      <c r="I704" s="353"/>
      <c r="J704" s="353"/>
      <c r="K704" s="353"/>
      <c r="L704" s="353"/>
      <c r="M704" s="353">
        <f>F704</f>
        <v>2</v>
      </c>
      <c r="N704" s="405"/>
      <c r="O704" s="352"/>
    </row>
    <row r="705" spans="1:15">
      <c r="A705" s="354"/>
      <c r="B705" s="354"/>
      <c r="C705" s="355"/>
      <c r="D705" s="356"/>
      <c r="E705" s="362"/>
      <c r="F705" s="358"/>
      <c r="G705" s="359"/>
      <c r="H705" s="360"/>
      <c r="I705" s="360"/>
      <c r="J705" s="360"/>
      <c r="K705" s="360"/>
      <c r="L705" s="360"/>
      <c r="M705" s="360"/>
      <c r="N705" s="405"/>
      <c r="O705" s="352"/>
    </row>
    <row r="706" spans="1:15" ht="31.5">
      <c r="A706" s="339" t="s">
        <v>1651</v>
      </c>
      <c r="B706" s="339" t="s">
        <v>160</v>
      </c>
      <c r="C706" s="340" t="s">
        <v>651</v>
      </c>
      <c r="D706" s="446" t="s">
        <v>652</v>
      </c>
      <c r="E706" s="342" t="s">
        <v>167</v>
      </c>
      <c r="F706" s="343"/>
      <c r="G706" s="344"/>
      <c r="H706" s="345"/>
      <c r="I706" s="345"/>
      <c r="J706" s="345"/>
      <c r="K706" s="345"/>
      <c r="L706" s="345"/>
      <c r="M706" s="346">
        <f>SUM(M707:M708)</f>
        <v>3</v>
      </c>
      <c r="N706" s="408"/>
      <c r="O706" s="409"/>
    </row>
    <row r="707" spans="1:15">
      <c r="A707" s="347"/>
      <c r="B707" s="347"/>
      <c r="C707" s="348"/>
      <c r="D707" s="421" t="s">
        <v>1502</v>
      </c>
      <c r="E707" s="422"/>
      <c r="F707" s="423">
        <v>3</v>
      </c>
      <c r="G707" s="352"/>
      <c r="H707" s="353"/>
      <c r="I707" s="353"/>
      <c r="J707" s="353"/>
      <c r="K707" s="353"/>
      <c r="L707" s="353"/>
      <c r="M707" s="353">
        <f>F707</f>
        <v>3</v>
      </c>
      <c r="N707" s="405"/>
      <c r="O707" s="352"/>
    </row>
    <row r="708" spans="1:15">
      <c r="A708" s="354"/>
      <c r="B708" s="354"/>
      <c r="C708" s="355"/>
      <c r="D708" s="356"/>
      <c r="E708" s="362"/>
      <c r="F708" s="358"/>
      <c r="G708" s="359"/>
      <c r="H708" s="360"/>
      <c r="I708" s="360"/>
      <c r="J708" s="360"/>
      <c r="K708" s="360"/>
      <c r="L708" s="360"/>
      <c r="M708" s="360"/>
      <c r="N708" s="405"/>
      <c r="O708" s="352"/>
    </row>
    <row r="709" spans="1:15" ht="31.5">
      <c r="A709" s="339" t="s">
        <v>1652</v>
      </c>
      <c r="B709" s="339" t="s">
        <v>160</v>
      </c>
      <c r="C709" s="340" t="s">
        <v>654</v>
      </c>
      <c r="D709" s="446" t="s">
        <v>655</v>
      </c>
      <c r="E709" s="342" t="s">
        <v>167</v>
      </c>
      <c r="F709" s="343"/>
      <c r="G709" s="344"/>
      <c r="H709" s="345"/>
      <c r="I709" s="345"/>
      <c r="J709" s="345"/>
      <c r="K709" s="345"/>
      <c r="L709" s="345"/>
      <c r="M709" s="346">
        <f>SUM(M710:M711)</f>
        <v>2</v>
      </c>
      <c r="N709" s="408"/>
      <c r="O709" s="409"/>
    </row>
    <row r="710" spans="1:15">
      <c r="A710" s="347"/>
      <c r="B710" s="347"/>
      <c r="C710" s="348"/>
      <c r="D710" s="421" t="s">
        <v>1502</v>
      </c>
      <c r="E710" s="422"/>
      <c r="F710" s="423">
        <v>2</v>
      </c>
      <c r="G710" s="352"/>
      <c r="H710" s="353"/>
      <c r="I710" s="353"/>
      <c r="J710" s="353"/>
      <c r="K710" s="353"/>
      <c r="L710" s="353"/>
      <c r="M710" s="353">
        <f>F710</f>
        <v>2</v>
      </c>
      <c r="N710" s="405"/>
      <c r="O710" s="352"/>
    </row>
    <row r="711" spans="1:15">
      <c r="A711" s="354"/>
      <c r="B711" s="354"/>
      <c r="C711" s="355"/>
      <c r="D711" s="356"/>
      <c r="E711" s="362"/>
      <c r="F711" s="358"/>
      <c r="G711" s="359"/>
      <c r="H711" s="360"/>
      <c r="I711" s="360"/>
      <c r="J711" s="360"/>
      <c r="K711" s="360"/>
      <c r="L711" s="360"/>
      <c r="M711" s="360"/>
      <c r="N711" s="405"/>
      <c r="O711" s="352"/>
    </row>
    <row r="712" spans="1:15" ht="31.5">
      <c r="A712" s="339" t="s">
        <v>1653</v>
      </c>
      <c r="B712" s="339" t="s">
        <v>160</v>
      </c>
      <c r="C712" s="340" t="s">
        <v>657</v>
      </c>
      <c r="D712" s="446" t="s">
        <v>658</v>
      </c>
      <c r="E712" s="342" t="s">
        <v>167</v>
      </c>
      <c r="F712" s="343"/>
      <c r="G712" s="344"/>
      <c r="H712" s="345"/>
      <c r="I712" s="345"/>
      <c r="J712" s="345"/>
      <c r="K712" s="345"/>
      <c r="L712" s="345"/>
      <c r="M712" s="346">
        <f>SUM(M713:M714)</f>
        <v>2</v>
      </c>
      <c r="N712" s="408"/>
      <c r="O712" s="409"/>
    </row>
    <row r="713" spans="1:15">
      <c r="A713" s="347"/>
      <c r="B713" s="347"/>
      <c r="C713" s="348"/>
      <c r="D713" s="421" t="s">
        <v>1502</v>
      </c>
      <c r="E713" s="422"/>
      <c r="F713" s="423">
        <v>2</v>
      </c>
      <c r="G713" s="352"/>
      <c r="H713" s="353"/>
      <c r="I713" s="353"/>
      <c r="J713" s="353"/>
      <c r="K713" s="353"/>
      <c r="L713" s="353"/>
      <c r="M713" s="353">
        <f>F713</f>
        <v>2</v>
      </c>
      <c r="N713" s="405"/>
      <c r="O713" s="352"/>
    </row>
    <row r="714" spans="1:15">
      <c r="A714" s="354"/>
      <c r="B714" s="354"/>
      <c r="C714" s="355"/>
      <c r="D714" s="356"/>
      <c r="E714" s="362"/>
      <c r="F714" s="358"/>
      <c r="G714" s="359"/>
      <c r="H714" s="360"/>
      <c r="I714" s="360"/>
      <c r="J714" s="360"/>
      <c r="K714" s="360"/>
      <c r="L714" s="360"/>
      <c r="M714" s="360"/>
      <c r="N714" s="405"/>
      <c r="O714" s="352"/>
    </row>
    <row r="715" spans="1:15" ht="31.5">
      <c r="A715" s="339" t="s">
        <v>1654</v>
      </c>
      <c r="B715" s="339" t="s">
        <v>160</v>
      </c>
      <c r="C715" s="340" t="s">
        <v>660</v>
      </c>
      <c r="D715" s="446" t="s">
        <v>661</v>
      </c>
      <c r="E715" s="342" t="s">
        <v>167</v>
      </c>
      <c r="F715" s="343"/>
      <c r="G715" s="344"/>
      <c r="H715" s="345"/>
      <c r="I715" s="345"/>
      <c r="J715" s="345"/>
      <c r="K715" s="345"/>
      <c r="L715" s="345"/>
      <c r="M715" s="346">
        <f>SUM(M716:M717)</f>
        <v>2</v>
      </c>
      <c r="N715" s="408"/>
      <c r="O715" s="409"/>
    </row>
    <row r="716" spans="1:15">
      <c r="A716" s="347"/>
      <c r="B716" s="347"/>
      <c r="C716" s="348"/>
      <c r="D716" s="421" t="s">
        <v>1502</v>
      </c>
      <c r="E716" s="422"/>
      <c r="F716" s="423">
        <v>2</v>
      </c>
      <c r="G716" s="352"/>
      <c r="H716" s="353"/>
      <c r="I716" s="353"/>
      <c r="J716" s="353"/>
      <c r="K716" s="353"/>
      <c r="L716" s="353"/>
      <c r="M716" s="353">
        <f>F716</f>
        <v>2</v>
      </c>
      <c r="N716" s="405"/>
      <c r="O716" s="352"/>
    </row>
    <row r="717" spans="1:15">
      <c r="A717" s="354"/>
      <c r="B717" s="354"/>
      <c r="C717" s="355"/>
      <c r="D717" s="356"/>
      <c r="E717" s="362"/>
      <c r="F717" s="358"/>
      <c r="G717" s="359"/>
      <c r="H717" s="360"/>
      <c r="I717" s="360"/>
      <c r="J717" s="360"/>
      <c r="K717" s="360"/>
      <c r="L717" s="360"/>
      <c r="M717" s="360"/>
      <c r="N717" s="405"/>
      <c r="O717" s="352"/>
    </row>
    <row r="718" spans="1:15" ht="31.5">
      <c r="A718" s="339" t="s">
        <v>1655</v>
      </c>
      <c r="B718" s="339" t="s">
        <v>160</v>
      </c>
      <c r="C718" s="340" t="s">
        <v>663</v>
      </c>
      <c r="D718" s="446" t="s">
        <v>664</v>
      </c>
      <c r="E718" s="342" t="s">
        <v>167</v>
      </c>
      <c r="F718" s="343"/>
      <c r="G718" s="344"/>
      <c r="H718" s="345"/>
      <c r="I718" s="345"/>
      <c r="J718" s="345"/>
      <c r="K718" s="345"/>
      <c r="L718" s="345"/>
      <c r="M718" s="346">
        <f>SUM(M719:M720)</f>
        <v>2</v>
      </c>
      <c r="N718" s="408"/>
      <c r="O718" s="409"/>
    </row>
    <row r="719" spans="1:15">
      <c r="A719" s="347"/>
      <c r="B719" s="347"/>
      <c r="C719" s="348"/>
      <c r="D719" s="421" t="s">
        <v>1502</v>
      </c>
      <c r="E719" s="422"/>
      <c r="F719" s="423">
        <v>2</v>
      </c>
      <c r="G719" s="352"/>
      <c r="H719" s="353"/>
      <c r="I719" s="353"/>
      <c r="J719" s="353"/>
      <c r="K719" s="353"/>
      <c r="L719" s="353"/>
      <c r="M719" s="353">
        <f>F719</f>
        <v>2</v>
      </c>
      <c r="N719" s="405"/>
      <c r="O719" s="352"/>
    </row>
    <row r="720" spans="1:15">
      <c r="A720" s="354"/>
      <c r="B720" s="354"/>
      <c r="C720" s="355"/>
      <c r="D720" s="356"/>
      <c r="E720" s="362"/>
      <c r="F720" s="358"/>
      <c r="G720" s="359"/>
      <c r="H720" s="360"/>
      <c r="I720" s="360"/>
      <c r="J720" s="360"/>
      <c r="K720" s="360"/>
      <c r="L720" s="360"/>
      <c r="M720" s="360"/>
      <c r="N720" s="405"/>
      <c r="O720" s="352"/>
    </row>
    <row r="721" spans="1:15" ht="31.5">
      <c r="A721" s="339" t="s">
        <v>1656</v>
      </c>
      <c r="B721" s="339" t="s">
        <v>160</v>
      </c>
      <c r="C721" s="340" t="s">
        <v>666</v>
      </c>
      <c r="D721" s="446" t="s">
        <v>667</v>
      </c>
      <c r="E721" s="342" t="s">
        <v>167</v>
      </c>
      <c r="F721" s="343"/>
      <c r="G721" s="344"/>
      <c r="H721" s="345"/>
      <c r="I721" s="345"/>
      <c r="J721" s="345"/>
      <c r="K721" s="345"/>
      <c r="L721" s="345"/>
      <c r="M721" s="346">
        <f>SUM(M722:M723)</f>
        <v>2</v>
      </c>
      <c r="N721" s="408"/>
      <c r="O721" s="409"/>
    </row>
    <row r="722" spans="1:15">
      <c r="A722" s="347"/>
      <c r="B722" s="347"/>
      <c r="C722" s="348"/>
      <c r="D722" s="421" t="s">
        <v>1502</v>
      </c>
      <c r="E722" s="422"/>
      <c r="F722" s="423">
        <v>2</v>
      </c>
      <c r="G722" s="352"/>
      <c r="H722" s="353"/>
      <c r="I722" s="353"/>
      <c r="J722" s="353"/>
      <c r="K722" s="353"/>
      <c r="L722" s="353"/>
      <c r="M722" s="353">
        <f>F722</f>
        <v>2</v>
      </c>
      <c r="N722" s="405"/>
      <c r="O722" s="352"/>
    </row>
    <row r="723" spans="1:15">
      <c r="A723" s="354"/>
      <c r="B723" s="354"/>
      <c r="C723" s="355"/>
      <c r="D723" s="356"/>
      <c r="E723" s="362"/>
      <c r="F723" s="358"/>
      <c r="G723" s="359"/>
      <c r="H723" s="360"/>
      <c r="I723" s="360"/>
      <c r="J723" s="360"/>
      <c r="K723" s="360"/>
      <c r="L723" s="360"/>
      <c r="M723" s="360"/>
      <c r="N723" s="405"/>
      <c r="O723" s="352"/>
    </row>
    <row r="724" spans="1:15" ht="31.5">
      <c r="A724" s="339" t="s">
        <v>1657</v>
      </c>
      <c r="B724" s="339" t="s">
        <v>160</v>
      </c>
      <c r="C724" s="340" t="s">
        <v>669</v>
      </c>
      <c r="D724" s="446" t="s">
        <v>670</v>
      </c>
      <c r="E724" s="342" t="s">
        <v>167</v>
      </c>
      <c r="F724" s="343"/>
      <c r="G724" s="344"/>
      <c r="H724" s="345"/>
      <c r="I724" s="345"/>
      <c r="J724" s="345"/>
      <c r="K724" s="345"/>
      <c r="L724" s="345"/>
      <c r="M724" s="346">
        <f>SUM(M725:M726)</f>
        <v>1</v>
      </c>
      <c r="N724" s="408"/>
      <c r="O724" s="409"/>
    </row>
    <row r="725" spans="1:15">
      <c r="A725" s="347"/>
      <c r="B725" s="347"/>
      <c r="C725" s="348"/>
      <c r="D725" s="421" t="s">
        <v>1502</v>
      </c>
      <c r="E725" s="422"/>
      <c r="F725" s="423">
        <v>1</v>
      </c>
      <c r="G725" s="352"/>
      <c r="H725" s="353"/>
      <c r="I725" s="353"/>
      <c r="J725" s="353"/>
      <c r="K725" s="353"/>
      <c r="L725" s="353"/>
      <c r="M725" s="353">
        <f>F725</f>
        <v>1</v>
      </c>
      <c r="N725" s="405"/>
      <c r="O725" s="352"/>
    </row>
    <row r="726" spans="1:15">
      <c r="A726" s="354"/>
      <c r="B726" s="354"/>
      <c r="C726" s="355"/>
      <c r="D726" s="356"/>
      <c r="E726" s="362"/>
      <c r="F726" s="358"/>
      <c r="G726" s="359"/>
      <c r="H726" s="360"/>
      <c r="I726" s="360"/>
      <c r="J726" s="360"/>
      <c r="K726" s="360"/>
      <c r="L726" s="360"/>
      <c r="M726" s="360"/>
      <c r="N726" s="405"/>
      <c r="O726" s="352"/>
    </row>
    <row r="727" spans="1:15" ht="31.5">
      <c r="A727" s="339" t="s">
        <v>1658</v>
      </c>
      <c r="B727" s="339" t="s">
        <v>160</v>
      </c>
      <c r="C727" s="340" t="s">
        <v>672</v>
      </c>
      <c r="D727" s="446" t="s">
        <v>673</v>
      </c>
      <c r="E727" s="342" t="s">
        <v>167</v>
      </c>
      <c r="F727" s="343"/>
      <c r="G727" s="344"/>
      <c r="H727" s="345"/>
      <c r="I727" s="345"/>
      <c r="J727" s="345"/>
      <c r="K727" s="345"/>
      <c r="L727" s="345"/>
      <c r="M727" s="346">
        <f>SUM(M728:M729)</f>
        <v>2</v>
      </c>
      <c r="N727" s="408"/>
      <c r="O727" s="409"/>
    </row>
    <row r="728" spans="1:15">
      <c r="A728" s="347"/>
      <c r="B728" s="347"/>
      <c r="C728" s="348"/>
      <c r="D728" s="421" t="s">
        <v>1502</v>
      </c>
      <c r="E728" s="422"/>
      <c r="F728" s="423">
        <v>2</v>
      </c>
      <c r="G728" s="352"/>
      <c r="H728" s="353"/>
      <c r="I728" s="353"/>
      <c r="J728" s="353"/>
      <c r="K728" s="353"/>
      <c r="L728" s="353"/>
      <c r="M728" s="353">
        <f>F728</f>
        <v>2</v>
      </c>
      <c r="N728" s="405"/>
      <c r="O728" s="352"/>
    </row>
    <row r="729" spans="1:15">
      <c r="A729" s="354"/>
      <c r="B729" s="354"/>
      <c r="C729" s="355"/>
      <c r="D729" s="356"/>
      <c r="E729" s="362"/>
      <c r="F729" s="358"/>
      <c r="G729" s="359"/>
      <c r="H729" s="360"/>
      <c r="I729" s="360"/>
      <c r="J729" s="360"/>
      <c r="K729" s="360"/>
      <c r="L729" s="360"/>
      <c r="M729" s="360"/>
      <c r="N729" s="405"/>
      <c r="O729" s="352"/>
    </row>
    <row r="730" spans="1:15" ht="31.5">
      <c r="A730" s="339" t="s">
        <v>1659</v>
      </c>
      <c r="B730" s="339" t="s">
        <v>160</v>
      </c>
      <c r="C730" s="340" t="s">
        <v>675</v>
      </c>
      <c r="D730" s="446" t="s">
        <v>676</v>
      </c>
      <c r="E730" s="342" t="s">
        <v>167</v>
      </c>
      <c r="F730" s="343"/>
      <c r="G730" s="344"/>
      <c r="H730" s="345"/>
      <c r="I730" s="345"/>
      <c r="J730" s="345"/>
      <c r="K730" s="345"/>
      <c r="L730" s="345"/>
      <c r="M730" s="346">
        <f>SUM(M731:M732)</f>
        <v>1</v>
      </c>
      <c r="N730" s="408"/>
      <c r="O730" s="409"/>
    </row>
    <row r="731" spans="1:15">
      <c r="A731" s="347"/>
      <c r="B731" s="347"/>
      <c r="C731" s="348"/>
      <c r="D731" s="421" t="s">
        <v>1502</v>
      </c>
      <c r="E731" s="422"/>
      <c r="F731" s="423">
        <v>1</v>
      </c>
      <c r="G731" s="352"/>
      <c r="H731" s="353"/>
      <c r="I731" s="353"/>
      <c r="J731" s="353"/>
      <c r="K731" s="353"/>
      <c r="L731" s="353"/>
      <c r="M731" s="353">
        <f>F731</f>
        <v>1</v>
      </c>
      <c r="N731" s="405"/>
      <c r="O731" s="352"/>
    </row>
    <row r="732" spans="1:15">
      <c r="A732" s="354"/>
      <c r="B732" s="354"/>
      <c r="C732" s="355"/>
      <c r="D732" s="356"/>
      <c r="E732" s="362"/>
      <c r="F732" s="358"/>
      <c r="G732" s="359"/>
      <c r="H732" s="360"/>
      <c r="I732" s="360"/>
      <c r="J732" s="360"/>
      <c r="K732" s="360"/>
      <c r="L732" s="360"/>
      <c r="M732" s="360"/>
      <c r="N732" s="405"/>
      <c r="O732" s="352"/>
    </row>
    <row r="733" spans="1:15" ht="31.5">
      <c r="A733" s="339" t="s">
        <v>1660</v>
      </c>
      <c r="B733" s="339" t="s">
        <v>160</v>
      </c>
      <c r="C733" s="340" t="s">
        <v>678</v>
      </c>
      <c r="D733" s="446" t="s">
        <v>679</v>
      </c>
      <c r="E733" s="342" t="s">
        <v>167</v>
      </c>
      <c r="F733" s="343"/>
      <c r="G733" s="344"/>
      <c r="H733" s="345"/>
      <c r="I733" s="345"/>
      <c r="J733" s="345"/>
      <c r="K733" s="345"/>
      <c r="L733" s="345"/>
      <c r="M733" s="346">
        <f>SUM(M734:M735)</f>
        <v>2</v>
      </c>
      <c r="N733" s="408"/>
      <c r="O733" s="409"/>
    </row>
    <row r="734" spans="1:15">
      <c r="A734" s="347"/>
      <c r="B734" s="347"/>
      <c r="C734" s="348"/>
      <c r="D734" s="421" t="s">
        <v>1502</v>
      </c>
      <c r="E734" s="422"/>
      <c r="F734" s="423">
        <v>2</v>
      </c>
      <c r="G734" s="352"/>
      <c r="H734" s="353"/>
      <c r="I734" s="353"/>
      <c r="J734" s="353"/>
      <c r="K734" s="353"/>
      <c r="L734" s="353"/>
      <c r="M734" s="353">
        <f>F734</f>
        <v>2</v>
      </c>
      <c r="N734" s="405"/>
      <c r="O734" s="352"/>
    </row>
    <row r="735" spans="1:15">
      <c r="A735" s="354"/>
      <c r="B735" s="354"/>
      <c r="C735" s="355"/>
      <c r="D735" s="356"/>
      <c r="E735" s="362"/>
      <c r="F735" s="358"/>
      <c r="G735" s="359"/>
      <c r="H735" s="360"/>
      <c r="I735" s="360"/>
      <c r="J735" s="360"/>
      <c r="K735" s="360"/>
      <c r="L735" s="360"/>
      <c r="M735" s="360"/>
      <c r="N735" s="405"/>
      <c r="O735" s="352"/>
    </row>
    <row r="736" spans="1:15" ht="31.5">
      <c r="A736" s="339" t="s">
        <v>1661</v>
      </c>
      <c r="B736" s="339" t="s">
        <v>160</v>
      </c>
      <c r="C736" s="340" t="s">
        <v>681</v>
      </c>
      <c r="D736" s="446" t="s">
        <v>682</v>
      </c>
      <c r="E736" s="342" t="s">
        <v>167</v>
      </c>
      <c r="F736" s="343"/>
      <c r="G736" s="344"/>
      <c r="H736" s="345"/>
      <c r="I736" s="345"/>
      <c r="J736" s="345"/>
      <c r="K736" s="345"/>
      <c r="L736" s="345"/>
      <c r="M736" s="346">
        <f>SUM(M737:M738)</f>
        <v>4</v>
      </c>
      <c r="N736" s="408"/>
      <c r="O736" s="409"/>
    </row>
    <row r="737" spans="1:15">
      <c r="A737" s="347"/>
      <c r="B737" s="347"/>
      <c r="C737" s="348"/>
      <c r="D737" s="421" t="s">
        <v>1502</v>
      </c>
      <c r="E737" s="422"/>
      <c r="F737" s="423">
        <v>4</v>
      </c>
      <c r="G737" s="352"/>
      <c r="H737" s="353"/>
      <c r="I737" s="353"/>
      <c r="J737" s="353"/>
      <c r="K737" s="353"/>
      <c r="L737" s="353"/>
      <c r="M737" s="353">
        <f>F737</f>
        <v>4</v>
      </c>
      <c r="N737" s="405"/>
      <c r="O737" s="352"/>
    </row>
    <row r="738" spans="1:15">
      <c r="A738" s="354"/>
      <c r="B738" s="354"/>
      <c r="C738" s="355"/>
      <c r="D738" s="356"/>
      <c r="E738" s="362"/>
      <c r="F738" s="358"/>
      <c r="G738" s="359"/>
      <c r="H738" s="360"/>
      <c r="I738" s="360"/>
      <c r="J738" s="360"/>
      <c r="K738" s="360"/>
      <c r="L738" s="360"/>
      <c r="M738" s="360"/>
      <c r="N738" s="405"/>
      <c r="O738" s="352"/>
    </row>
    <row r="739" spans="1:15" ht="31.5">
      <c r="A739" s="339" t="s">
        <v>1662</v>
      </c>
      <c r="B739" s="339" t="s">
        <v>160</v>
      </c>
      <c r="C739" s="340" t="s">
        <v>684</v>
      </c>
      <c r="D739" s="446" t="s">
        <v>685</v>
      </c>
      <c r="E739" s="342" t="s">
        <v>167</v>
      </c>
      <c r="F739" s="343"/>
      <c r="G739" s="344"/>
      <c r="H739" s="345"/>
      <c r="I739" s="345"/>
      <c r="J739" s="345"/>
      <c r="K739" s="345"/>
      <c r="L739" s="345"/>
      <c r="M739" s="346">
        <f>SUM(M740:M741)</f>
        <v>2</v>
      </c>
      <c r="N739" s="408"/>
      <c r="O739" s="409"/>
    </row>
    <row r="740" spans="1:15">
      <c r="A740" s="347"/>
      <c r="B740" s="347"/>
      <c r="C740" s="348"/>
      <c r="D740" s="421" t="s">
        <v>1502</v>
      </c>
      <c r="E740" s="422"/>
      <c r="F740" s="423">
        <v>2</v>
      </c>
      <c r="G740" s="352"/>
      <c r="H740" s="353"/>
      <c r="I740" s="353"/>
      <c r="J740" s="353"/>
      <c r="K740" s="353"/>
      <c r="L740" s="353"/>
      <c r="M740" s="353">
        <f>F740</f>
        <v>2</v>
      </c>
      <c r="N740" s="405"/>
      <c r="O740" s="352"/>
    </row>
    <row r="741" spans="1:15">
      <c r="A741" s="354"/>
      <c r="B741" s="354"/>
      <c r="C741" s="355"/>
      <c r="D741" s="356"/>
      <c r="E741" s="362"/>
      <c r="F741" s="358"/>
      <c r="G741" s="359"/>
      <c r="H741" s="360"/>
      <c r="I741" s="360"/>
      <c r="J741" s="360"/>
      <c r="K741" s="360"/>
      <c r="L741" s="360"/>
      <c r="M741" s="360"/>
      <c r="N741" s="405"/>
      <c r="O741" s="352"/>
    </row>
    <row r="742" spans="1:15" ht="31.5">
      <c r="A742" s="339" t="s">
        <v>1663</v>
      </c>
      <c r="B742" s="339" t="s">
        <v>2</v>
      </c>
      <c r="C742" s="340">
        <v>97460</v>
      </c>
      <c r="D742" s="446" t="s">
        <v>687</v>
      </c>
      <c r="E742" s="342" t="s">
        <v>167</v>
      </c>
      <c r="F742" s="343"/>
      <c r="G742" s="344"/>
      <c r="H742" s="345"/>
      <c r="I742" s="345"/>
      <c r="J742" s="345"/>
      <c r="K742" s="345"/>
      <c r="L742" s="345"/>
      <c r="M742" s="346">
        <f>SUM(M743:M744)</f>
        <v>2</v>
      </c>
      <c r="N742" s="408"/>
      <c r="O742" s="409"/>
    </row>
    <row r="743" spans="1:15">
      <c r="A743" s="347"/>
      <c r="B743" s="347"/>
      <c r="C743" s="348"/>
      <c r="D743" s="421" t="s">
        <v>1502</v>
      </c>
      <c r="E743" s="422"/>
      <c r="F743" s="423">
        <v>2</v>
      </c>
      <c r="G743" s="352"/>
      <c r="H743" s="353"/>
      <c r="I743" s="353"/>
      <c r="J743" s="353"/>
      <c r="K743" s="353"/>
      <c r="L743" s="353"/>
      <c r="M743" s="353">
        <f>F743</f>
        <v>2</v>
      </c>
      <c r="N743" s="405"/>
      <c r="O743" s="352"/>
    </row>
    <row r="744" spans="1:15">
      <c r="A744" s="354"/>
      <c r="B744" s="354"/>
      <c r="C744" s="355"/>
      <c r="D744" s="356"/>
      <c r="E744" s="362"/>
      <c r="F744" s="358"/>
      <c r="G744" s="359"/>
      <c r="H744" s="360"/>
      <c r="I744" s="360"/>
      <c r="J744" s="360"/>
      <c r="K744" s="360"/>
      <c r="L744" s="360"/>
      <c r="M744" s="360"/>
      <c r="N744" s="405"/>
      <c r="O744" s="352"/>
    </row>
    <row r="745" spans="1:15" ht="31.5">
      <c r="A745" s="339" t="s">
        <v>1664</v>
      </c>
      <c r="B745" s="339" t="s">
        <v>160</v>
      </c>
      <c r="C745" s="340" t="s">
        <v>689</v>
      </c>
      <c r="D745" s="446" t="s">
        <v>690</v>
      </c>
      <c r="E745" s="342" t="s">
        <v>167</v>
      </c>
      <c r="F745" s="343"/>
      <c r="G745" s="344"/>
      <c r="H745" s="345"/>
      <c r="I745" s="345"/>
      <c r="J745" s="345"/>
      <c r="K745" s="345"/>
      <c r="L745" s="345"/>
      <c r="M745" s="346">
        <f>SUM(M746:M747)</f>
        <v>2</v>
      </c>
      <c r="N745" s="408"/>
      <c r="O745" s="409"/>
    </row>
    <row r="746" spans="1:15">
      <c r="A746" s="347"/>
      <c r="B746" s="347"/>
      <c r="C746" s="348"/>
      <c r="D746" s="421" t="s">
        <v>1502</v>
      </c>
      <c r="E746" s="422"/>
      <c r="F746" s="423">
        <v>2</v>
      </c>
      <c r="G746" s="352"/>
      <c r="H746" s="353"/>
      <c r="I746" s="353"/>
      <c r="J746" s="353"/>
      <c r="K746" s="353"/>
      <c r="L746" s="353"/>
      <c r="M746" s="353">
        <f>F746</f>
        <v>2</v>
      </c>
      <c r="N746" s="405"/>
      <c r="O746" s="352"/>
    </row>
    <row r="747" spans="1:15">
      <c r="A747" s="354"/>
      <c r="B747" s="354"/>
      <c r="C747" s="355"/>
      <c r="D747" s="356"/>
      <c r="E747" s="362"/>
      <c r="F747" s="358"/>
      <c r="G747" s="359"/>
      <c r="H747" s="360"/>
      <c r="I747" s="360"/>
      <c r="J747" s="360"/>
      <c r="K747" s="360"/>
      <c r="L747" s="360"/>
      <c r="M747" s="360"/>
      <c r="N747" s="405"/>
      <c r="O747" s="352"/>
    </row>
    <row r="748" spans="1:15" ht="31.5">
      <c r="A748" s="339" t="s">
        <v>1665</v>
      </c>
      <c r="B748" s="339" t="s">
        <v>160</v>
      </c>
      <c r="C748" s="340" t="s">
        <v>692</v>
      </c>
      <c r="D748" s="446" t="s">
        <v>693</v>
      </c>
      <c r="E748" s="342" t="s">
        <v>167</v>
      </c>
      <c r="F748" s="343"/>
      <c r="G748" s="344"/>
      <c r="H748" s="345"/>
      <c r="I748" s="345"/>
      <c r="J748" s="345"/>
      <c r="K748" s="345"/>
      <c r="L748" s="345"/>
      <c r="M748" s="346">
        <f>SUM(M749:M750)</f>
        <v>2</v>
      </c>
      <c r="N748" s="408"/>
      <c r="O748" s="409"/>
    </row>
    <row r="749" spans="1:15">
      <c r="A749" s="347"/>
      <c r="B749" s="347"/>
      <c r="C749" s="348"/>
      <c r="D749" s="421" t="s">
        <v>1502</v>
      </c>
      <c r="E749" s="422"/>
      <c r="F749" s="423">
        <v>2</v>
      </c>
      <c r="G749" s="352"/>
      <c r="H749" s="353"/>
      <c r="I749" s="353"/>
      <c r="J749" s="353"/>
      <c r="K749" s="353"/>
      <c r="L749" s="353"/>
      <c r="M749" s="353">
        <f>F749</f>
        <v>2</v>
      </c>
      <c r="N749" s="405"/>
      <c r="O749" s="352"/>
    </row>
    <row r="750" spans="1:15">
      <c r="A750" s="354"/>
      <c r="B750" s="354"/>
      <c r="C750" s="355"/>
      <c r="D750" s="356"/>
      <c r="E750" s="362"/>
      <c r="F750" s="358"/>
      <c r="G750" s="359"/>
      <c r="H750" s="360"/>
      <c r="I750" s="360"/>
      <c r="J750" s="360"/>
      <c r="K750" s="360"/>
      <c r="L750" s="360"/>
      <c r="M750" s="360"/>
      <c r="N750" s="405"/>
      <c r="O750" s="352"/>
    </row>
    <row r="751" spans="1:15" ht="31.5">
      <c r="A751" s="339" t="s">
        <v>1666</v>
      </c>
      <c r="B751" s="339" t="s">
        <v>160</v>
      </c>
      <c r="C751" s="340" t="s">
        <v>695</v>
      </c>
      <c r="D751" s="446" t="s">
        <v>696</v>
      </c>
      <c r="E751" s="342" t="s">
        <v>167</v>
      </c>
      <c r="F751" s="343"/>
      <c r="G751" s="344"/>
      <c r="H751" s="345"/>
      <c r="I751" s="345"/>
      <c r="J751" s="345"/>
      <c r="K751" s="345"/>
      <c r="L751" s="345"/>
      <c r="M751" s="346">
        <f>SUM(M752:M753)</f>
        <v>18</v>
      </c>
      <c r="N751" s="408"/>
      <c r="O751" s="409"/>
    </row>
    <row r="752" spans="1:15">
      <c r="A752" s="347"/>
      <c r="B752" s="347"/>
      <c r="C752" s="348"/>
      <c r="D752" s="421" t="s">
        <v>1502</v>
      </c>
      <c r="E752" s="422"/>
      <c r="F752" s="423">
        <v>18</v>
      </c>
      <c r="G752" s="352"/>
      <c r="H752" s="353"/>
      <c r="I752" s="353"/>
      <c r="J752" s="353"/>
      <c r="K752" s="353"/>
      <c r="L752" s="353"/>
      <c r="M752" s="353">
        <f>F752</f>
        <v>18</v>
      </c>
      <c r="N752" s="405"/>
      <c r="O752" s="352"/>
    </row>
    <row r="753" spans="1:15">
      <c r="A753" s="354"/>
      <c r="B753" s="354"/>
      <c r="C753" s="355"/>
      <c r="D753" s="356"/>
      <c r="E753" s="362"/>
      <c r="F753" s="358"/>
      <c r="G753" s="359"/>
      <c r="H753" s="360"/>
      <c r="I753" s="360"/>
      <c r="J753" s="360"/>
      <c r="K753" s="360"/>
      <c r="L753" s="360"/>
      <c r="M753" s="360"/>
      <c r="N753" s="405"/>
      <c r="O753" s="352"/>
    </row>
    <row r="754" spans="1:15" ht="31.5">
      <c r="A754" s="339" t="s">
        <v>1667</v>
      </c>
      <c r="B754" s="339" t="s">
        <v>160</v>
      </c>
      <c r="C754" s="340" t="s">
        <v>698</v>
      </c>
      <c r="D754" s="446" t="s">
        <v>699</v>
      </c>
      <c r="E754" s="342" t="s">
        <v>167</v>
      </c>
      <c r="F754" s="343"/>
      <c r="G754" s="344"/>
      <c r="H754" s="345"/>
      <c r="I754" s="345"/>
      <c r="J754" s="345"/>
      <c r="K754" s="345"/>
      <c r="L754" s="345"/>
      <c r="M754" s="346">
        <f>SUM(M755:M756)</f>
        <v>4</v>
      </c>
      <c r="N754" s="408"/>
      <c r="O754" s="409"/>
    </row>
    <row r="755" spans="1:15">
      <c r="A755" s="347"/>
      <c r="B755" s="347"/>
      <c r="C755" s="348"/>
      <c r="D755" s="421" t="s">
        <v>1502</v>
      </c>
      <c r="E755" s="422"/>
      <c r="F755" s="423">
        <v>4</v>
      </c>
      <c r="G755" s="352"/>
      <c r="H755" s="353"/>
      <c r="I755" s="353"/>
      <c r="J755" s="353"/>
      <c r="K755" s="353"/>
      <c r="L755" s="353"/>
      <c r="M755" s="353">
        <f>F755</f>
        <v>4</v>
      </c>
      <c r="N755" s="405"/>
      <c r="O755" s="352"/>
    </row>
    <row r="756" spans="1:15">
      <c r="A756" s="354"/>
      <c r="B756" s="354"/>
      <c r="C756" s="355"/>
      <c r="D756" s="356"/>
      <c r="E756" s="362"/>
      <c r="F756" s="358"/>
      <c r="G756" s="359"/>
      <c r="H756" s="360"/>
      <c r="I756" s="360"/>
      <c r="J756" s="360"/>
      <c r="K756" s="360"/>
      <c r="L756" s="360"/>
      <c r="M756" s="360"/>
      <c r="N756" s="405"/>
      <c r="O756" s="352"/>
    </row>
    <row r="757" spans="1:15" ht="31.5">
      <c r="A757" s="339" t="s">
        <v>1668</v>
      </c>
      <c r="B757" s="339" t="s">
        <v>160</v>
      </c>
      <c r="C757" s="340" t="s">
        <v>701</v>
      </c>
      <c r="D757" s="446" t="s">
        <v>702</v>
      </c>
      <c r="E757" s="342" t="s">
        <v>167</v>
      </c>
      <c r="F757" s="343"/>
      <c r="G757" s="344"/>
      <c r="H757" s="345"/>
      <c r="I757" s="345"/>
      <c r="J757" s="345"/>
      <c r="K757" s="345"/>
      <c r="L757" s="345"/>
      <c r="M757" s="346">
        <f>SUM(M758:M759)</f>
        <v>10</v>
      </c>
      <c r="N757" s="408"/>
      <c r="O757" s="409"/>
    </row>
    <row r="758" spans="1:15">
      <c r="A758" s="347"/>
      <c r="B758" s="347"/>
      <c r="C758" s="348"/>
      <c r="D758" s="421" t="s">
        <v>1502</v>
      </c>
      <c r="E758" s="422"/>
      <c r="F758" s="423">
        <v>10</v>
      </c>
      <c r="G758" s="352"/>
      <c r="H758" s="353"/>
      <c r="I758" s="353"/>
      <c r="J758" s="353"/>
      <c r="K758" s="353"/>
      <c r="L758" s="353"/>
      <c r="M758" s="353">
        <f>F758</f>
        <v>10</v>
      </c>
      <c r="N758" s="405"/>
      <c r="O758" s="352"/>
    </row>
    <row r="759" spans="1:15">
      <c r="A759" s="354"/>
      <c r="B759" s="354"/>
      <c r="C759" s="355"/>
      <c r="D759" s="356"/>
      <c r="E759" s="362"/>
      <c r="F759" s="358"/>
      <c r="G759" s="359"/>
      <c r="H759" s="360"/>
      <c r="I759" s="360"/>
      <c r="J759" s="360"/>
      <c r="K759" s="360"/>
      <c r="L759" s="360"/>
      <c r="M759" s="360"/>
      <c r="N759" s="405"/>
      <c r="O759" s="352"/>
    </row>
    <row r="760" spans="1:15" ht="31.5">
      <c r="A760" s="339" t="s">
        <v>1669</v>
      </c>
      <c r="B760" s="339" t="s">
        <v>160</v>
      </c>
      <c r="C760" s="340" t="s">
        <v>704</v>
      </c>
      <c r="D760" s="446" t="s">
        <v>705</v>
      </c>
      <c r="E760" s="342" t="s">
        <v>167</v>
      </c>
      <c r="F760" s="343"/>
      <c r="G760" s="344"/>
      <c r="H760" s="345"/>
      <c r="I760" s="345"/>
      <c r="J760" s="345"/>
      <c r="K760" s="345"/>
      <c r="L760" s="345"/>
      <c r="M760" s="346">
        <f>SUM(M761:M762)</f>
        <v>1</v>
      </c>
      <c r="N760" s="408"/>
      <c r="O760" s="409"/>
    </row>
    <row r="761" spans="1:15">
      <c r="A761" s="347"/>
      <c r="B761" s="347"/>
      <c r="C761" s="348"/>
      <c r="D761" s="421" t="s">
        <v>1502</v>
      </c>
      <c r="E761" s="422"/>
      <c r="F761" s="423">
        <v>1</v>
      </c>
      <c r="G761" s="352"/>
      <c r="H761" s="353"/>
      <c r="I761" s="353"/>
      <c r="J761" s="353"/>
      <c r="K761" s="353"/>
      <c r="L761" s="353"/>
      <c r="M761" s="353">
        <f>F761</f>
        <v>1</v>
      </c>
      <c r="N761" s="405"/>
      <c r="O761" s="352"/>
    </row>
    <row r="762" spans="1:15">
      <c r="A762" s="354"/>
      <c r="B762" s="354"/>
      <c r="C762" s="355"/>
      <c r="D762" s="356"/>
      <c r="E762" s="362"/>
      <c r="F762" s="358"/>
      <c r="G762" s="359"/>
      <c r="H762" s="360"/>
      <c r="I762" s="360"/>
      <c r="J762" s="360"/>
      <c r="K762" s="360"/>
      <c r="L762" s="360"/>
      <c r="M762" s="360"/>
      <c r="N762" s="405"/>
      <c r="O762" s="352"/>
    </row>
    <row r="763" spans="1:15" ht="31.5">
      <c r="A763" s="339" t="s">
        <v>1670</v>
      </c>
      <c r="B763" s="339" t="s">
        <v>2</v>
      </c>
      <c r="C763" s="340">
        <v>92928</v>
      </c>
      <c r="D763" s="446" t="s">
        <v>707</v>
      </c>
      <c r="E763" s="342" t="s">
        <v>167</v>
      </c>
      <c r="F763" s="343"/>
      <c r="G763" s="344"/>
      <c r="H763" s="345"/>
      <c r="I763" s="345"/>
      <c r="J763" s="345"/>
      <c r="K763" s="345"/>
      <c r="L763" s="345"/>
      <c r="M763" s="346">
        <f>SUM(M764:M765)</f>
        <v>2</v>
      </c>
      <c r="N763" s="408"/>
      <c r="O763" s="409"/>
    </row>
    <row r="764" spans="1:15">
      <c r="A764" s="347"/>
      <c r="B764" s="347"/>
      <c r="C764" s="348"/>
      <c r="D764" s="421" t="s">
        <v>1502</v>
      </c>
      <c r="E764" s="422"/>
      <c r="F764" s="423">
        <v>2</v>
      </c>
      <c r="G764" s="352"/>
      <c r="H764" s="353"/>
      <c r="I764" s="353"/>
      <c r="J764" s="353"/>
      <c r="K764" s="353"/>
      <c r="L764" s="353"/>
      <c r="M764" s="353">
        <f>F764</f>
        <v>2</v>
      </c>
      <c r="N764" s="405"/>
      <c r="O764" s="352"/>
    </row>
    <row r="765" spans="1:15">
      <c r="A765" s="354"/>
      <c r="B765" s="354"/>
      <c r="C765" s="355"/>
      <c r="D765" s="356"/>
      <c r="E765" s="362"/>
      <c r="F765" s="358"/>
      <c r="G765" s="359"/>
      <c r="H765" s="360"/>
      <c r="I765" s="360"/>
      <c r="J765" s="360"/>
      <c r="K765" s="360"/>
      <c r="L765" s="360"/>
      <c r="M765" s="360"/>
      <c r="N765" s="405"/>
      <c r="O765" s="352"/>
    </row>
    <row r="766" spans="1:15" ht="31.5">
      <c r="A766" s="339" t="s">
        <v>1671</v>
      </c>
      <c r="B766" s="339" t="s">
        <v>2</v>
      </c>
      <c r="C766" s="340">
        <v>92889</v>
      </c>
      <c r="D766" s="446" t="s">
        <v>709</v>
      </c>
      <c r="E766" s="342" t="s">
        <v>167</v>
      </c>
      <c r="F766" s="343"/>
      <c r="G766" s="344"/>
      <c r="H766" s="345"/>
      <c r="I766" s="345"/>
      <c r="J766" s="345"/>
      <c r="K766" s="345"/>
      <c r="L766" s="345"/>
      <c r="M766" s="346">
        <f>SUM(M767:M768)</f>
        <v>4</v>
      </c>
      <c r="N766" s="408"/>
      <c r="O766" s="409"/>
    </row>
    <row r="767" spans="1:15">
      <c r="A767" s="347"/>
      <c r="B767" s="347"/>
      <c r="C767" s="348"/>
      <c r="D767" s="421" t="s">
        <v>1502</v>
      </c>
      <c r="E767" s="422"/>
      <c r="F767" s="423">
        <v>4</v>
      </c>
      <c r="G767" s="352"/>
      <c r="H767" s="353"/>
      <c r="I767" s="353"/>
      <c r="J767" s="353"/>
      <c r="K767" s="353"/>
      <c r="L767" s="353"/>
      <c r="M767" s="353">
        <f>F767</f>
        <v>4</v>
      </c>
      <c r="N767" s="405"/>
      <c r="O767" s="352"/>
    </row>
    <row r="768" spans="1:15">
      <c r="A768" s="354"/>
      <c r="B768" s="354"/>
      <c r="C768" s="355"/>
      <c r="D768" s="356"/>
      <c r="E768" s="362"/>
      <c r="F768" s="358"/>
      <c r="G768" s="359"/>
      <c r="H768" s="360"/>
      <c r="I768" s="360"/>
      <c r="J768" s="360"/>
      <c r="K768" s="360"/>
      <c r="L768" s="360"/>
      <c r="M768" s="360"/>
      <c r="N768" s="405"/>
      <c r="O768" s="352"/>
    </row>
    <row r="769" spans="1:15" ht="31.5">
      <c r="A769" s="339" t="s">
        <v>1672</v>
      </c>
      <c r="B769" s="339" t="s">
        <v>2</v>
      </c>
      <c r="C769" s="340">
        <v>92893</v>
      </c>
      <c r="D769" s="446" t="s">
        <v>711</v>
      </c>
      <c r="E769" s="342" t="s">
        <v>167</v>
      </c>
      <c r="F769" s="343"/>
      <c r="G769" s="344"/>
      <c r="H769" s="345"/>
      <c r="I769" s="345"/>
      <c r="J769" s="345"/>
      <c r="K769" s="345"/>
      <c r="L769" s="345"/>
      <c r="M769" s="346">
        <f>SUM(M770:M771)</f>
        <v>4</v>
      </c>
      <c r="N769" s="408"/>
      <c r="O769" s="409"/>
    </row>
    <row r="770" spans="1:15">
      <c r="A770" s="347"/>
      <c r="B770" s="347"/>
      <c r="C770" s="348"/>
      <c r="D770" s="421" t="s">
        <v>1502</v>
      </c>
      <c r="E770" s="422"/>
      <c r="F770" s="423">
        <v>4</v>
      </c>
      <c r="G770" s="352"/>
      <c r="H770" s="353"/>
      <c r="I770" s="353"/>
      <c r="J770" s="353"/>
      <c r="K770" s="353"/>
      <c r="L770" s="353"/>
      <c r="M770" s="353">
        <f>F770</f>
        <v>4</v>
      </c>
      <c r="N770" s="405"/>
      <c r="O770" s="352"/>
    </row>
    <row r="771" spans="1:15">
      <c r="A771" s="354"/>
      <c r="B771" s="354"/>
      <c r="C771" s="355"/>
      <c r="D771" s="356"/>
      <c r="E771" s="362"/>
      <c r="F771" s="358"/>
      <c r="G771" s="359"/>
      <c r="H771" s="360"/>
      <c r="I771" s="360"/>
      <c r="J771" s="360"/>
      <c r="K771" s="360"/>
      <c r="L771" s="360"/>
      <c r="M771" s="360"/>
      <c r="N771" s="405"/>
      <c r="O771" s="352"/>
    </row>
    <row r="772" spans="1:15">
      <c r="A772" s="447" t="s">
        <v>1673</v>
      </c>
      <c r="B772" s="448"/>
      <c r="C772" s="449"/>
      <c r="D772" s="450" t="s">
        <v>713</v>
      </c>
      <c r="E772" s="451"/>
      <c r="F772" s="452"/>
      <c r="G772" s="453"/>
      <c r="H772" s="453"/>
      <c r="I772" s="453"/>
      <c r="J772" s="453"/>
      <c r="K772" s="453"/>
      <c r="L772" s="453"/>
      <c r="M772" s="454"/>
      <c r="N772" s="463"/>
      <c r="O772" s="454"/>
    </row>
    <row r="773" spans="1:15" ht="63">
      <c r="A773" s="339" t="s">
        <v>1674</v>
      </c>
      <c r="B773" s="339" t="s">
        <v>160</v>
      </c>
      <c r="C773" s="340" t="s">
        <v>715</v>
      </c>
      <c r="D773" s="446" t="s">
        <v>716</v>
      </c>
      <c r="E773" s="342" t="s">
        <v>163</v>
      </c>
      <c r="F773" s="343"/>
      <c r="G773" s="344"/>
      <c r="H773" s="345"/>
      <c r="I773" s="345"/>
      <c r="J773" s="345"/>
      <c r="K773" s="345"/>
      <c r="L773" s="345"/>
      <c r="M773" s="346">
        <f>SUM(M774:M775)</f>
        <v>1</v>
      </c>
      <c r="N773" s="408"/>
      <c r="O773" s="409"/>
    </row>
    <row r="774" spans="1:15">
      <c r="A774" s="347"/>
      <c r="B774" s="347"/>
      <c r="C774" s="348"/>
      <c r="D774" s="421" t="s">
        <v>1502</v>
      </c>
      <c r="E774" s="422"/>
      <c r="F774" s="423">
        <v>1</v>
      </c>
      <c r="G774" s="352"/>
      <c r="H774" s="353"/>
      <c r="I774" s="353"/>
      <c r="J774" s="353"/>
      <c r="K774" s="353"/>
      <c r="L774" s="353"/>
      <c r="M774" s="353">
        <f>F774</f>
        <v>1</v>
      </c>
      <c r="N774" s="405"/>
      <c r="O774" s="352"/>
    </row>
    <row r="775" spans="1:15">
      <c r="A775" s="354"/>
      <c r="B775" s="354"/>
      <c r="C775" s="355"/>
      <c r="D775" s="356"/>
      <c r="E775" s="362"/>
      <c r="F775" s="358"/>
      <c r="G775" s="359"/>
      <c r="H775" s="360"/>
      <c r="I775" s="360"/>
      <c r="J775" s="360"/>
      <c r="K775" s="360"/>
      <c r="L775" s="360"/>
      <c r="M775" s="360"/>
      <c r="N775" s="405"/>
      <c r="O775" s="352"/>
    </row>
    <row r="776" spans="1:15" ht="63">
      <c r="A776" s="339" t="s">
        <v>1675</v>
      </c>
      <c r="B776" s="339" t="s">
        <v>160</v>
      </c>
      <c r="C776" s="340" t="s">
        <v>718</v>
      </c>
      <c r="D776" s="446" t="s">
        <v>719</v>
      </c>
      <c r="E776" s="342" t="s">
        <v>163</v>
      </c>
      <c r="F776" s="343"/>
      <c r="G776" s="344"/>
      <c r="H776" s="345"/>
      <c r="I776" s="345"/>
      <c r="J776" s="345"/>
      <c r="K776" s="345"/>
      <c r="L776" s="345"/>
      <c r="M776" s="346">
        <f>SUM(M777:M778)</f>
        <v>1</v>
      </c>
      <c r="N776" s="408"/>
      <c r="O776" s="409"/>
    </row>
    <row r="777" spans="1:15">
      <c r="A777" s="347"/>
      <c r="B777" s="347"/>
      <c r="C777" s="348"/>
      <c r="D777" s="421" t="s">
        <v>1502</v>
      </c>
      <c r="E777" s="422"/>
      <c r="F777" s="423">
        <v>1</v>
      </c>
      <c r="G777" s="352"/>
      <c r="H777" s="353"/>
      <c r="I777" s="353"/>
      <c r="J777" s="353"/>
      <c r="K777" s="353"/>
      <c r="L777" s="353"/>
      <c r="M777" s="353">
        <f>F777</f>
        <v>1</v>
      </c>
      <c r="N777" s="405"/>
      <c r="O777" s="352"/>
    </row>
    <row r="778" spans="1:15">
      <c r="A778" s="354"/>
      <c r="B778" s="354"/>
      <c r="C778" s="355"/>
      <c r="D778" s="356"/>
      <c r="E778" s="362"/>
      <c r="F778" s="358"/>
      <c r="G778" s="359"/>
      <c r="H778" s="360"/>
      <c r="I778" s="360"/>
      <c r="J778" s="360"/>
      <c r="K778" s="360"/>
      <c r="L778" s="360"/>
      <c r="M778" s="360"/>
      <c r="N778" s="405"/>
      <c r="O778" s="352"/>
    </row>
    <row r="779" spans="1:15" ht="63">
      <c r="A779" s="339" t="s">
        <v>1676</v>
      </c>
      <c r="B779" s="339" t="s">
        <v>160</v>
      </c>
      <c r="C779" s="340" t="s">
        <v>721</v>
      </c>
      <c r="D779" s="446" t="s">
        <v>722</v>
      </c>
      <c r="E779" s="342" t="s">
        <v>163</v>
      </c>
      <c r="F779" s="343"/>
      <c r="G779" s="344"/>
      <c r="H779" s="345"/>
      <c r="I779" s="345"/>
      <c r="J779" s="345"/>
      <c r="K779" s="345"/>
      <c r="L779" s="345"/>
      <c r="M779" s="346">
        <f>SUM(M780:M781)</f>
        <v>6</v>
      </c>
      <c r="N779" s="408"/>
      <c r="O779" s="409"/>
    </row>
    <row r="780" spans="1:15">
      <c r="A780" s="347"/>
      <c r="B780" s="347"/>
      <c r="C780" s="348"/>
      <c r="D780" s="421" t="s">
        <v>1502</v>
      </c>
      <c r="E780" s="422"/>
      <c r="F780" s="423">
        <v>6</v>
      </c>
      <c r="G780" s="352"/>
      <c r="H780" s="353"/>
      <c r="I780" s="353"/>
      <c r="J780" s="353"/>
      <c r="K780" s="353"/>
      <c r="L780" s="353"/>
      <c r="M780" s="353">
        <f>F780</f>
        <v>6</v>
      </c>
      <c r="N780" s="405"/>
      <c r="O780" s="352"/>
    </row>
    <row r="781" spans="1:15">
      <c r="A781" s="354"/>
      <c r="B781" s="354"/>
      <c r="C781" s="355"/>
      <c r="D781" s="356"/>
      <c r="E781" s="362"/>
      <c r="F781" s="358"/>
      <c r="G781" s="359"/>
      <c r="H781" s="360"/>
      <c r="I781" s="360"/>
      <c r="J781" s="360"/>
      <c r="K781" s="360"/>
      <c r="L781" s="360"/>
      <c r="M781" s="360"/>
      <c r="N781" s="405"/>
      <c r="O781" s="352"/>
    </row>
    <row r="782" spans="1:15" ht="31.5">
      <c r="A782" s="339" t="s">
        <v>1677</v>
      </c>
      <c r="B782" s="339" t="s">
        <v>160</v>
      </c>
      <c r="C782" s="340" t="s">
        <v>724</v>
      </c>
      <c r="D782" s="446" t="s">
        <v>725</v>
      </c>
      <c r="E782" s="342" t="s">
        <v>167</v>
      </c>
      <c r="F782" s="343"/>
      <c r="G782" s="344"/>
      <c r="H782" s="345"/>
      <c r="I782" s="345"/>
      <c r="J782" s="345"/>
      <c r="K782" s="345"/>
      <c r="L782" s="345"/>
      <c r="M782" s="346">
        <f>SUM(M783:M784)</f>
        <v>2</v>
      </c>
      <c r="N782" s="408"/>
      <c r="O782" s="409"/>
    </row>
    <row r="783" spans="1:15">
      <c r="A783" s="347"/>
      <c r="B783" s="347"/>
      <c r="C783" s="348"/>
      <c r="D783" s="421" t="s">
        <v>1502</v>
      </c>
      <c r="E783" s="422"/>
      <c r="F783" s="423">
        <v>2</v>
      </c>
      <c r="G783" s="352"/>
      <c r="H783" s="353"/>
      <c r="I783" s="353"/>
      <c r="J783" s="353"/>
      <c r="K783" s="353"/>
      <c r="L783" s="353"/>
      <c r="M783" s="353">
        <f>F783</f>
        <v>2</v>
      </c>
      <c r="N783" s="405"/>
      <c r="O783" s="352"/>
    </row>
    <row r="784" spans="1:15">
      <c r="A784" s="354"/>
      <c r="B784" s="354"/>
      <c r="C784" s="355"/>
      <c r="D784" s="356"/>
      <c r="E784" s="362"/>
      <c r="F784" s="358"/>
      <c r="G784" s="359"/>
      <c r="H784" s="360"/>
      <c r="I784" s="360"/>
      <c r="J784" s="360"/>
      <c r="K784" s="360"/>
      <c r="L784" s="360"/>
      <c r="M784" s="360"/>
      <c r="N784" s="405"/>
      <c r="O784" s="352"/>
    </row>
    <row r="785" spans="1:15" ht="31.5">
      <c r="A785" s="339" t="s">
        <v>1678</v>
      </c>
      <c r="B785" s="339" t="s">
        <v>160</v>
      </c>
      <c r="C785" s="340" t="s">
        <v>727</v>
      </c>
      <c r="D785" s="446" t="s">
        <v>728</v>
      </c>
      <c r="E785" s="342" t="s">
        <v>167</v>
      </c>
      <c r="F785" s="343"/>
      <c r="G785" s="344"/>
      <c r="H785" s="345"/>
      <c r="I785" s="345"/>
      <c r="J785" s="345"/>
      <c r="K785" s="345"/>
      <c r="L785" s="345"/>
      <c r="M785" s="346">
        <f>SUM(M786:M787)</f>
        <v>2</v>
      </c>
      <c r="N785" s="408"/>
      <c r="O785" s="409"/>
    </row>
    <row r="786" spans="1:15">
      <c r="A786" s="347"/>
      <c r="B786" s="347"/>
      <c r="C786" s="348"/>
      <c r="D786" s="421" t="s">
        <v>1502</v>
      </c>
      <c r="E786" s="422"/>
      <c r="F786" s="423">
        <v>2</v>
      </c>
      <c r="G786" s="352"/>
      <c r="H786" s="353"/>
      <c r="I786" s="353"/>
      <c r="J786" s="353"/>
      <c r="K786" s="353"/>
      <c r="L786" s="353"/>
      <c r="M786" s="353">
        <f>F786</f>
        <v>2</v>
      </c>
      <c r="N786" s="405"/>
      <c r="O786" s="352"/>
    </row>
    <row r="787" spans="1:15">
      <c r="A787" s="354"/>
      <c r="B787" s="354"/>
      <c r="C787" s="355"/>
      <c r="D787" s="356"/>
      <c r="E787" s="362"/>
      <c r="F787" s="358"/>
      <c r="G787" s="359"/>
      <c r="H787" s="360"/>
      <c r="I787" s="360"/>
      <c r="J787" s="360"/>
      <c r="K787" s="360"/>
      <c r="L787" s="360"/>
      <c r="M787" s="360"/>
      <c r="N787" s="405"/>
      <c r="O787" s="352"/>
    </row>
    <row r="788" spans="1:15" ht="31.5">
      <c r="A788" s="339" t="s">
        <v>1679</v>
      </c>
      <c r="B788" s="339" t="s">
        <v>160</v>
      </c>
      <c r="C788" s="340" t="s">
        <v>730</v>
      </c>
      <c r="D788" s="446" t="s">
        <v>731</v>
      </c>
      <c r="E788" s="342" t="s">
        <v>167</v>
      </c>
      <c r="F788" s="343"/>
      <c r="G788" s="344"/>
      <c r="H788" s="345"/>
      <c r="I788" s="345"/>
      <c r="J788" s="345"/>
      <c r="K788" s="345"/>
      <c r="L788" s="345"/>
      <c r="M788" s="346">
        <f>SUM(M789:M790)</f>
        <v>3</v>
      </c>
      <c r="N788" s="408"/>
      <c r="O788" s="409"/>
    </row>
    <row r="789" spans="1:15">
      <c r="A789" s="347"/>
      <c r="B789" s="347"/>
      <c r="C789" s="348"/>
      <c r="D789" s="421" t="s">
        <v>1502</v>
      </c>
      <c r="E789" s="422"/>
      <c r="F789" s="423">
        <v>3</v>
      </c>
      <c r="G789" s="352"/>
      <c r="H789" s="353"/>
      <c r="I789" s="353"/>
      <c r="J789" s="353"/>
      <c r="K789" s="353"/>
      <c r="L789" s="353"/>
      <c r="M789" s="353">
        <f>F789</f>
        <v>3</v>
      </c>
      <c r="N789" s="405"/>
      <c r="O789" s="352"/>
    </row>
    <row r="790" spans="1:15">
      <c r="A790" s="354"/>
      <c r="B790" s="354"/>
      <c r="C790" s="355"/>
      <c r="D790" s="356"/>
      <c r="E790" s="362"/>
      <c r="F790" s="358"/>
      <c r="G790" s="359"/>
      <c r="H790" s="360"/>
      <c r="I790" s="360"/>
      <c r="J790" s="360"/>
      <c r="K790" s="360"/>
      <c r="L790" s="360"/>
      <c r="M790" s="360"/>
      <c r="N790" s="405"/>
      <c r="O790" s="352"/>
    </row>
    <row r="791" spans="1:15" ht="31.5">
      <c r="A791" s="339" t="s">
        <v>1680</v>
      </c>
      <c r="B791" s="339" t="s">
        <v>160</v>
      </c>
      <c r="C791" s="340" t="s">
        <v>733</v>
      </c>
      <c r="D791" s="446" t="s">
        <v>734</v>
      </c>
      <c r="E791" s="342" t="s">
        <v>167</v>
      </c>
      <c r="F791" s="343"/>
      <c r="G791" s="344"/>
      <c r="H791" s="345"/>
      <c r="I791" s="345"/>
      <c r="J791" s="345"/>
      <c r="K791" s="345"/>
      <c r="L791" s="345"/>
      <c r="M791" s="346">
        <f>SUM(M792:M793)</f>
        <v>1</v>
      </c>
      <c r="N791" s="408"/>
      <c r="O791" s="409"/>
    </row>
    <row r="792" spans="1:15">
      <c r="A792" s="347"/>
      <c r="B792" s="347"/>
      <c r="C792" s="348"/>
      <c r="D792" s="421" t="s">
        <v>1502</v>
      </c>
      <c r="E792" s="422"/>
      <c r="F792" s="423">
        <v>1</v>
      </c>
      <c r="G792" s="352"/>
      <c r="H792" s="353"/>
      <c r="I792" s="353"/>
      <c r="J792" s="353"/>
      <c r="K792" s="353"/>
      <c r="L792" s="353"/>
      <c r="M792" s="353">
        <f>F792</f>
        <v>1</v>
      </c>
      <c r="N792" s="405"/>
      <c r="O792" s="352"/>
    </row>
    <row r="793" spans="1:15">
      <c r="A793" s="354"/>
      <c r="B793" s="354"/>
      <c r="C793" s="355"/>
      <c r="D793" s="356"/>
      <c r="E793" s="362"/>
      <c r="F793" s="358"/>
      <c r="G793" s="359"/>
      <c r="H793" s="360"/>
      <c r="I793" s="360"/>
      <c r="J793" s="360"/>
      <c r="K793" s="360"/>
      <c r="L793" s="360"/>
      <c r="M793" s="360"/>
      <c r="N793" s="405"/>
      <c r="O793" s="352"/>
    </row>
    <row r="794" spans="1:15" ht="31.5">
      <c r="A794" s="339" t="s">
        <v>1681</v>
      </c>
      <c r="B794" s="339" t="s">
        <v>160</v>
      </c>
      <c r="C794" s="340" t="s">
        <v>736</v>
      </c>
      <c r="D794" s="446" t="s">
        <v>731</v>
      </c>
      <c r="E794" s="342" t="s">
        <v>167</v>
      </c>
      <c r="F794" s="343"/>
      <c r="G794" s="344"/>
      <c r="H794" s="345"/>
      <c r="I794" s="345"/>
      <c r="J794" s="345"/>
      <c r="K794" s="345"/>
      <c r="L794" s="345"/>
      <c r="M794" s="346">
        <f>SUM(M795:M796)</f>
        <v>3</v>
      </c>
      <c r="N794" s="408"/>
      <c r="O794" s="409"/>
    </row>
    <row r="795" spans="1:15">
      <c r="A795" s="347"/>
      <c r="B795" s="347"/>
      <c r="C795" s="348"/>
      <c r="D795" s="421" t="s">
        <v>1502</v>
      </c>
      <c r="E795" s="422"/>
      <c r="F795" s="423">
        <v>3</v>
      </c>
      <c r="G795" s="352"/>
      <c r="H795" s="353"/>
      <c r="I795" s="353"/>
      <c r="J795" s="353"/>
      <c r="K795" s="353"/>
      <c r="L795" s="353"/>
      <c r="M795" s="353">
        <f>F795</f>
        <v>3</v>
      </c>
      <c r="N795" s="405"/>
      <c r="O795" s="352"/>
    </row>
    <row r="796" spans="1:15">
      <c r="A796" s="354"/>
      <c r="B796" s="354"/>
      <c r="C796" s="355"/>
      <c r="D796" s="356"/>
      <c r="E796" s="362"/>
      <c r="F796" s="358"/>
      <c r="G796" s="359"/>
      <c r="H796" s="360"/>
      <c r="I796" s="360"/>
      <c r="J796" s="360"/>
      <c r="K796" s="360"/>
      <c r="L796" s="360"/>
      <c r="M796" s="360"/>
      <c r="N796" s="405"/>
      <c r="O796" s="352"/>
    </row>
    <row r="797" spans="1:15">
      <c r="A797" s="447" t="s">
        <v>1682</v>
      </c>
      <c r="B797" s="448"/>
      <c r="C797" s="449"/>
      <c r="D797" s="450" t="s">
        <v>738</v>
      </c>
      <c r="E797" s="451"/>
      <c r="F797" s="452"/>
      <c r="G797" s="453"/>
      <c r="H797" s="453"/>
      <c r="I797" s="453"/>
      <c r="J797" s="453"/>
      <c r="K797" s="453"/>
      <c r="L797" s="453"/>
      <c r="M797" s="454"/>
      <c r="N797" s="463"/>
      <c r="O797" s="454"/>
    </row>
    <row r="798" spans="1:15" ht="31.5">
      <c r="A798" s="339" t="s">
        <v>1683</v>
      </c>
      <c r="B798" s="339" t="s">
        <v>160</v>
      </c>
      <c r="C798" s="340" t="s">
        <v>740</v>
      </c>
      <c r="D798" s="446" t="s">
        <v>741</v>
      </c>
      <c r="E798" s="342" t="s">
        <v>163</v>
      </c>
      <c r="F798" s="343"/>
      <c r="G798" s="344"/>
      <c r="H798" s="345"/>
      <c r="I798" s="345"/>
      <c r="J798" s="345"/>
      <c r="K798" s="345"/>
      <c r="L798" s="345"/>
      <c r="M798" s="346">
        <f>SUM(M799:M800)</f>
        <v>1</v>
      </c>
      <c r="N798" s="408"/>
      <c r="O798" s="409"/>
    </row>
    <row r="799" spans="1:15">
      <c r="A799" s="347"/>
      <c r="B799" s="347"/>
      <c r="C799" s="348"/>
      <c r="D799" s="421" t="s">
        <v>1502</v>
      </c>
      <c r="E799" s="422"/>
      <c r="F799" s="423">
        <v>1</v>
      </c>
      <c r="G799" s="352"/>
      <c r="H799" s="353"/>
      <c r="I799" s="353"/>
      <c r="J799" s="353"/>
      <c r="K799" s="353"/>
      <c r="L799" s="353"/>
      <c r="M799" s="353">
        <f>F799</f>
        <v>1</v>
      </c>
      <c r="N799" s="405"/>
      <c r="O799" s="352"/>
    </row>
    <row r="800" spans="1:15">
      <c r="A800" s="354"/>
      <c r="B800" s="354"/>
      <c r="C800" s="355"/>
      <c r="D800" s="356"/>
      <c r="E800" s="362"/>
      <c r="F800" s="358"/>
      <c r="G800" s="359"/>
      <c r="H800" s="360"/>
      <c r="I800" s="360"/>
      <c r="J800" s="360"/>
      <c r="K800" s="360"/>
      <c r="L800" s="360"/>
      <c r="M800" s="360"/>
      <c r="N800" s="406"/>
      <c r="O800" s="359"/>
    </row>
    <row r="801" spans="1:15">
      <c r="A801" s="319"/>
      <c r="B801" s="320"/>
      <c r="C801" s="321"/>
      <c r="D801" s="322"/>
      <c r="E801" s="320"/>
      <c r="F801" s="323"/>
      <c r="G801" s="324"/>
      <c r="H801" s="324"/>
      <c r="I801" s="324"/>
      <c r="J801" s="324"/>
      <c r="K801" s="324"/>
      <c r="L801" s="324"/>
      <c r="M801" s="324"/>
      <c r="N801" s="325"/>
      <c r="O801" s="326"/>
    </row>
    <row r="802" spans="1:15">
      <c r="A802" s="301">
        <v>5</v>
      </c>
      <c r="B802" s="302"/>
      <c r="C802" s="303"/>
      <c r="D802" s="304" t="s">
        <v>48</v>
      </c>
      <c r="E802" s="305"/>
      <c r="F802" s="306"/>
      <c r="G802" s="307"/>
      <c r="H802" s="307"/>
      <c r="I802" s="307"/>
      <c r="J802" s="307"/>
      <c r="K802" s="307"/>
      <c r="L802" s="307"/>
      <c r="M802" s="308"/>
      <c r="N802" s="402"/>
      <c r="O802" s="308"/>
    </row>
    <row r="803" spans="1:15">
      <c r="A803" s="311" t="s">
        <v>1684</v>
      </c>
      <c r="B803" s="312"/>
      <c r="C803" s="313"/>
      <c r="D803" s="314" t="s">
        <v>50</v>
      </c>
      <c r="E803" s="327"/>
      <c r="F803" s="328"/>
      <c r="G803" s="329"/>
      <c r="H803" s="329"/>
      <c r="I803" s="329"/>
      <c r="J803" s="329"/>
      <c r="K803" s="329"/>
      <c r="L803" s="329"/>
      <c r="M803" s="330"/>
      <c r="N803" s="407"/>
      <c r="O803" s="330"/>
    </row>
    <row r="804" spans="1:15">
      <c r="A804" s="339" t="s">
        <v>1685</v>
      </c>
      <c r="B804" s="339" t="s">
        <v>160</v>
      </c>
      <c r="C804" s="340" t="s">
        <v>239</v>
      </c>
      <c r="D804" s="341" t="s">
        <v>1686</v>
      </c>
      <c r="E804" s="370" t="s">
        <v>167</v>
      </c>
      <c r="F804" s="365"/>
      <c r="G804" s="344"/>
      <c r="H804" s="345"/>
      <c r="I804" s="345"/>
      <c r="J804" s="345"/>
      <c r="K804" s="345"/>
      <c r="L804" s="345"/>
      <c r="M804" s="346">
        <f>SUM(M805:M806)</f>
        <v>1</v>
      </c>
      <c r="N804" s="404"/>
      <c r="O804" s="409"/>
    </row>
    <row r="805" spans="1:15">
      <c r="A805" s="366"/>
      <c r="B805" s="366"/>
      <c r="C805" s="367"/>
      <c r="D805" s="349" t="s">
        <v>1687</v>
      </c>
      <c r="E805" s="361"/>
      <c r="F805" s="363">
        <v>1</v>
      </c>
      <c r="G805" s="352"/>
      <c r="H805" s="353"/>
      <c r="I805" s="353"/>
      <c r="J805" s="353"/>
      <c r="K805" s="353"/>
      <c r="L805" s="353"/>
      <c r="M805" s="353">
        <f>F805</f>
        <v>1</v>
      </c>
      <c r="N805" s="405"/>
      <c r="O805" s="352"/>
    </row>
    <row r="806" spans="1:15">
      <c r="A806" s="368"/>
      <c r="B806" s="368"/>
      <c r="C806" s="369"/>
      <c r="D806" s="356"/>
      <c r="E806" s="362"/>
      <c r="F806" s="364"/>
      <c r="G806" s="359"/>
      <c r="H806" s="360"/>
      <c r="I806" s="360"/>
      <c r="J806" s="360"/>
      <c r="K806" s="360"/>
      <c r="L806" s="360"/>
      <c r="M806" s="360"/>
      <c r="N806" s="406"/>
      <c r="O806" s="359"/>
    </row>
    <row r="807" spans="1:15">
      <c r="A807" s="339" t="s">
        <v>1688</v>
      </c>
      <c r="B807" s="339" t="s">
        <v>160</v>
      </c>
      <c r="C807" s="340" t="s">
        <v>745</v>
      </c>
      <c r="D807" s="341" t="s">
        <v>1689</v>
      </c>
      <c r="E807" s="370" t="s">
        <v>167</v>
      </c>
      <c r="F807" s="365"/>
      <c r="G807" s="344"/>
      <c r="H807" s="345"/>
      <c r="I807" s="345"/>
      <c r="J807" s="345"/>
      <c r="K807" s="345"/>
      <c r="L807" s="345"/>
      <c r="M807" s="346">
        <f>SUM(M808:M809)</f>
        <v>1</v>
      </c>
      <c r="N807" s="404"/>
      <c r="O807" s="409"/>
    </row>
    <row r="808" spans="1:15">
      <c r="A808" s="366"/>
      <c r="B808" s="366"/>
      <c r="C808" s="367"/>
      <c r="D808" s="349" t="s">
        <v>51</v>
      </c>
      <c r="E808" s="361"/>
      <c r="F808" s="363">
        <v>1</v>
      </c>
      <c r="G808" s="352"/>
      <c r="H808" s="353"/>
      <c r="I808" s="353"/>
      <c r="J808" s="353"/>
      <c r="K808" s="353"/>
      <c r="L808" s="353"/>
      <c r="M808" s="353">
        <f>F808</f>
        <v>1</v>
      </c>
      <c r="N808" s="405"/>
      <c r="O808" s="352"/>
    </row>
    <row r="809" spans="1:15">
      <c r="A809" s="368"/>
      <c r="B809" s="368"/>
      <c r="C809" s="369"/>
      <c r="D809" s="356"/>
      <c r="E809" s="362"/>
      <c r="F809" s="364"/>
      <c r="G809" s="359"/>
      <c r="H809" s="360"/>
      <c r="I809" s="360"/>
      <c r="J809" s="360"/>
      <c r="K809" s="360"/>
      <c r="L809" s="360"/>
      <c r="M809" s="360"/>
      <c r="N809" s="406"/>
      <c r="O809" s="359"/>
    </row>
    <row r="810" spans="1:15">
      <c r="A810" s="311" t="s">
        <v>1690</v>
      </c>
      <c r="B810" s="312"/>
      <c r="C810" s="313"/>
      <c r="D810" s="314" t="s">
        <v>82</v>
      </c>
      <c r="E810" s="327"/>
      <c r="F810" s="328"/>
      <c r="G810" s="329"/>
      <c r="H810" s="329"/>
      <c r="I810" s="329"/>
      <c r="J810" s="329"/>
      <c r="K810" s="329"/>
      <c r="L810" s="329"/>
      <c r="M810" s="330"/>
      <c r="N810" s="407"/>
      <c r="O810" s="330"/>
    </row>
    <row r="811" spans="1:15">
      <c r="A811" s="339" t="s">
        <v>1691</v>
      </c>
      <c r="B811" s="339" t="s">
        <v>160</v>
      </c>
      <c r="C811" s="340" t="s">
        <v>748</v>
      </c>
      <c r="D811" s="341" t="s">
        <v>1692</v>
      </c>
      <c r="E811" s="370" t="s">
        <v>150</v>
      </c>
      <c r="F811" s="343"/>
      <c r="G811" s="344"/>
      <c r="H811" s="345"/>
      <c r="I811" s="345"/>
      <c r="J811" s="345"/>
      <c r="K811" s="345"/>
      <c r="L811" s="345"/>
      <c r="M811" s="346">
        <f>SUM(M812:M813)</f>
        <v>1155</v>
      </c>
      <c r="N811" s="408"/>
      <c r="O811" s="409"/>
    </row>
    <row r="812" spans="1:15">
      <c r="A812" s="366"/>
      <c r="B812" s="366"/>
      <c r="C812" s="367"/>
      <c r="D812" s="349"/>
      <c r="E812" s="361"/>
      <c r="F812" s="363"/>
      <c r="G812" s="352"/>
      <c r="H812" s="353">
        <v>1155</v>
      </c>
      <c r="I812" s="353"/>
      <c r="J812" s="353"/>
      <c r="K812" s="353"/>
      <c r="L812" s="353"/>
      <c r="M812" s="353">
        <f>H812</f>
        <v>1155</v>
      </c>
      <c r="N812" s="405"/>
      <c r="O812" s="352"/>
    </row>
    <row r="813" spans="1:15">
      <c r="A813" s="371"/>
      <c r="B813" s="371"/>
      <c r="C813" s="372"/>
      <c r="D813" s="356"/>
      <c r="E813" s="362"/>
      <c r="F813" s="358"/>
      <c r="G813" s="359"/>
      <c r="H813" s="360"/>
      <c r="I813" s="360"/>
      <c r="J813" s="360"/>
      <c r="K813" s="360"/>
      <c r="L813" s="360"/>
      <c r="M813" s="360"/>
      <c r="N813" s="406"/>
      <c r="O813" s="359"/>
    </row>
    <row r="814" spans="1:15">
      <c r="A814" s="490"/>
      <c r="B814" s="490"/>
      <c r="C814" s="491"/>
      <c r="D814" s="492"/>
      <c r="E814" s="333"/>
      <c r="F814" s="337"/>
    </row>
    <row r="815" spans="1:15">
      <c r="A815" s="301">
        <v>5</v>
      </c>
      <c r="B815" s="302"/>
      <c r="C815" s="303"/>
      <c r="D815" s="304" t="s">
        <v>1693</v>
      </c>
      <c r="E815" s="305"/>
      <c r="F815" s="306"/>
      <c r="G815" s="307"/>
      <c r="H815" s="307"/>
      <c r="I815" s="307"/>
      <c r="J815" s="307"/>
      <c r="K815" s="307"/>
      <c r="L815" s="307"/>
      <c r="M815" s="308"/>
      <c r="N815" s="402"/>
      <c r="O815" s="308"/>
    </row>
    <row r="816" spans="1:15">
      <c r="A816" s="311" t="s">
        <v>1684</v>
      </c>
      <c r="B816" s="312"/>
      <c r="C816" s="313"/>
      <c r="D816" s="314" t="s">
        <v>50</v>
      </c>
      <c r="E816" s="327"/>
      <c r="F816" s="328"/>
      <c r="G816" s="329"/>
      <c r="H816" s="329"/>
      <c r="I816" s="329"/>
      <c r="J816" s="329"/>
      <c r="K816" s="329"/>
      <c r="L816" s="329"/>
      <c r="M816" s="330"/>
      <c r="N816" s="407"/>
      <c r="O816" s="330"/>
    </row>
    <row r="817" spans="1:15">
      <c r="A817" s="339" t="s">
        <v>1685</v>
      </c>
      <c r="B817" s="339" t="s">
        <v>160</v>
      </c>
      <c r="C817" s="340" t="s">
        <v>239</v>
      </c>
      <c r="D817" s="341" t="s">
        <v>1686</v>
      </c>
      <c r="E817" s="370" t="s">
        <v>167</v>
      </c>
      <c r="F817" s="365"/>
      <c r="G817" s="344"/>
      <c r="H817" s="345"/>
      <c r="I817" s="345"/>
      <c r="J817" s="345"/>
      <c r="K817" s="345"/>
      <c r="L817" s="345"/>
      <c r="M817" s="346">
        <f>SUM(M818:M819)</f>
        <v>0</v>
      </c>
      <c r="N817" s="404"/>
      <c r="O817" s="409"/>
    </row>
    <row r="818" spans="1:15">
      <c r="A818" s="490"/>
      <c r="B818" s="490"/>
      <c r="C818" s="491"/>
      <c r="D818" s="492"/>
      <c r="E818" s="333"/>
      <c r="F818" s="337"/>
    </row>
    <row r="819" spans="1:15">
      <c r="A819" s="490"/>
      <c r="B819" s="490"/>
      <c r="C819" s="491"/>
      <c r="D819" s="492"/>
      <c r="E819" s="333"/>
      <c r="F819" s="337"/>
    </row>
    <row r="820" spans="1:15">
      <c r="A820" s="490"/>
      <c r="B820" s="490"/>
      <c r="C820" s="491"/>
      <c r="D820" s="492"/>
      <c r="E820" s="333"/>
      <c r="F820" s="337"/>
    </row>
    <row r="821" spans="1:15">
      <c r="A821" s="490"/>
      <c r="B821" s="490"/>
      <c r="C821" s="491"/>
      <c r="D821" s="492"/>
      <c r="E821" s="333"/>
      <c r="F821" s="337"/>
    </row>
    <row r="822" spans="1:15">
      <c r="A822" s="490"/>
      <c r="B822" s="490"/>
      <c r="C822" s="491"/>
      <c r="D822" s="492"/>
      <c r="E822" s="333"/>
      <c r="F822" s="337"/>
    </row>
    <row r="823" spans="1:15">
      <c r="A823" s="490"/>
      <c r="B823" s="490"/>
      <c r="C823" s="491"/>
      <c r="D823" s="492"/>
      <c r="E823" s="333"/>
      <c r="F823" s="337"/>
    </row>
    <row r="824" spans="1:15">
      <c r="A824" s="490"/>
      <c r="B824" s="490"/>
      <c r="C824" s="491"/>
      <c r="D824" s="492"/>
      <c r="E824" s="333"/>
      <c r="F824" s="337"/>
    </row>
    <row r="825" spans="1:15">
      <c r="A825" s="490"/>
      <c r="B825" s="490"/>
      <c r="C825" s="491"/>
      <c r="D825" s="492"/>
      <c r="E825" s="333"/>
      <c r="F825" s="337"/>
    </row>
    <row r="826" spans="1:15" ht="16.5" thickBot="1"/>
    <row r="827" spans="1:15" ht="24" customHeight="1" thickBot="1">
      <c r="B827" s="400">
        <f>COUNTA(B17:B813)</f>
        <v>231</v>
      </c>
      <c r="C827" s="400">
        <f>COUNTA(C17:C813)</f>
        <v>231</v>
      </c>
      <c r="E827" s="400">
        <v>229</v>
      </c>
    </row>
  </sheetData>
  <mergeCells count="28">
    <mergeCell ref="A16:O16"/>
    <mergeCell ref="A13:B13"/>
    <mergeCell ref="C13:F13"/>
    <mergeCell ref="G13:I13"/>
    <mergeCell ref="J13:O13"/>
    <mergeCell ref="N15:O15"/>
    <mergeCell ref="A11:B11"/>
    <mergeCell ref="C11:F11"/>
    <mergeCell ref="G11:I11"/>
    <mergeCell ref="J11:O11"/>
    <mergeCell ref="A12:B12"/>
    <mergeCell ref="C12:F12"/>
    <mergeCell ref="G12:I12"/>
    <mergeCell ref="J12:O12"/>
    <mergeCell ref="A5:B5"/>
    <mergeCell ref="C5:H5"/>
    <mergeCell ref="A7:O7"/>
    <mergeCell ref="A9:O9"/>
    <mergeCell ref="A10:B10"/>
    <mergeCell ref="C10:F10"/>
    <mergeCell ref="G10:I10"/>
    <mergeCell ref="J10:O10"/>
    <mergeCell ref="A2:B2"/>
    <mergeCell ref="C2:H2"/>
    <mergeCell ref="A3:B3"/>
    <mergeCell ref="C3:H3"/>
    <mergeCell ref="A4:B4"/>
    <mergeCell ref="C4:H4"/>
  </mergeCells>
  <phoneticPr fontId="19" type="noConversion"/>
  <printOptions horizontalCentered="1"/>
  <pageMargins left="0.31496062992125984" right="0.31496062992125984" top="0.78740157480314965" bottom="0.78740157480314965" header="0.31496062992125984" footer="0.31496062992125984"/>
  <pageSetup paperSize="9" scale="38" fitToHeight="0" orientation="landscape" r:id="rId1"/>
  <headerFooter>
    <oddFooter>&amp;R&amp;P/&amp;N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C83E1-E2EC-4162-B6DF-5B94122C3C5E}">
  <sheetPr>
    <pageSetUpPr fitToPage="1"/>
  </sheetPr>
  <dimension ref="A1:O691"/>
  <sheetViews>
    <sheetView showGridLines="0" topLeftCell="A678" zoomScaleNormal="100" zoomScaleSheetLayoutView="85" workbookViewId="0">
      <selection activeCell="A12" sqref="A12:B12"/>
    </sheetView>
  </sheetViews>
  <sheetFormatPr defaultColWidth="9.140625" defaultRowHeight="15.75"/>
  <cols>
    <col min="1" max="1" width="13.85546875" style="333" customWidth="1"/>
    <col min="2" max="2" width="15.28515625" style="333" customWidth="1"/>
    <col min="3" max="3" width="15.28515625" style="334" customWidth="1"/>
    <col min="4" max="4" width="97.42578125" style="335" customWidth="1"/>
    <col min="5" max="5" width="10.7109375" style="309" customWidth="1"/>
    <col min="6" max="6" width="13.5703125" style="336" customWidth="1"/>
    <col min="7" max="7" width="8.28515625" style="337" bestFit="1" customWidth="1"/>
    <col min="8" max="8" width="12.85546875" style="337" bestFit="1" customWidth="1"/>
    <col min="9" max="12" width="12" style="337" customWidth="1"/>
    <col min="13" max="13" width="12.5703125" style="337" customWidth="1"/>
    <col min="14" max="14" width="69.28515625" style="338" customWidth="1"/>
    <col min="15" max="15" width="48" style="337" customWidth="1"/>
    <col min="16" max="16384" width="9.140625" style="310"/>
  </cols>
  <sheetData>
    <row r="1" spans="1:15" s="299" customFormat="1" ht="4.5" customHeight="1">
      <c r="A1" s="292"/>
      <c r="B1" s="293"/>
      <c r="C1" s="294"/>
      <c r="D1" s="293"/>
      <c r="E1" s="293"/>
      <c r="F1" s="293"/>
      <c r="G1" s="293"/>
      <c r="H1" s="295"/>
      <c r="I1" s="296"/>
      <c r="J1" s="295"/>
      <c r="K1" s="295"/>
      <c r="L1" s="295"/>
      <c r="M1" s="293"/>
      <c r="N1" s="297"/>
      <c r="O1" s="298"/>
    </row>
    <row r="2" spans="1:15" s="299" customFormat="1" ht="30.75" customHeight="1">
      <c r="A2" s="810" t="s">
        <v>0</v>
      </c>
      <c r="B2" s="811"/>
      <c r="C2" s="734" t="s">
        <v>1</v>
      </c>
      <c r="D2" s="735"/>
      <c r="E2" s="735"/>
      <c r="F2" s="735"/>
      <c r="G2" s="735"/>
      <c r="H2" s="735"/>
      <c r="I2" s="45"/>
      <c r="J2" s="385"/>
      <c r="K2" s="385"/>
      <c r="L2" s="385"/>
      <c r="M2" s="385"/>
      <c r="N2" s="374"/>
      <c r="O2" s="149"/>
    </row>
    <row r="3" spans="1:15" s="299" customFormat="1" ht="30.75" customHeight="1">
      <c r="A3" s="810" t="s">
        <v>5</v>
      </c>
      <c r="B3" s="811"/>
      <c r="C3" s="734" t="s">
        <v>6</v>
      </c>
      <c r="D3" s="735"/>
      <c r="E3" s="735"/>
      <c r="F3" s="735"/>
      <c r="G3" s="735"/>
      <c r="H3" s="735"/>
      <c r="I3" s="386"/>
      <c r="J3" s="386"/>
      <c r="K3" s="384"/>
      <c r="L3" s="384"/>
      <c r="M3" s="384"/>
      <c r="N3" s="387"/>
      <c r="O3" s="24"/>
    </row>
    <row r="4" spans="1:15" s="299" customFormat="1" ht="30.75" customHeight="1">
      <c r="A4" s="810" t="s">
        <v>9</v>
      </c>
      <c r="B4" s="811"/>
      <c r="C4" s="734" t="s">
        <v>10</v>
      </c>
      <c r="D4" s="735"/>
      <c r="E4" s="735"/>
      <c r="F4" s="735"/>
      <c r="G4" s="735"/>
      <c r="H4" s="735"/>
      <c r="I4" s="388"/>
      <c r="J4" s="384"/>
      <c r="K4" s="384"/>
      <c r="L4" s="384"/>
      <c r="M4" s="384"/>
      <c r="N4" s="387"/>
      <c r="O4" s="24"/>
    </row>
    <row r="5" spans="1:15" s="299" customFormat="1" ht="30.75" customHeight="1">
      <c r="A5" s="810" t="s">
        <v>14</v>
      </c>
      <c r="B5" s="811"/>
      <c r="C5" s="745" t="s">
        <v>15</v>
      </c>
      <c r="D5" s="746"/>
      <c r="E5" s="746"/>
      <c r="F5" s="746"/>
      <c r="G5" s="746"/>
      <c r="H5" s="746"/>
      <c r="I5" s="388"/>
      <c r="J5" s="384"/>
      <c r="K5" s="384"/>
      <c r="L5" s="384"/>
      <c r="M5" s="384"/>
      <c r="N5" s="387"/>
      <c r="O5" s="27"/>
    </row>
    <row r="6" spans="1:15" s="299" customFormat="1" ht="4.5" customHeight="1">
      <c r="A6" s="49"/>
      <c r="B6" s="50"/>
      <c r="C6" s="389"/>
      <c r="D6" s="50"/>
      <c r="E6" s="50"/>
      <c r="F6" s="50"/>
      <c r="G6" s="50"/>
      <c r="H6" s="50"/>
      <c r="I6" s="390"/>
      <c r="J6" s="50"/>
      <c r="K6" s="50"/>
      <c r="L6" s="50"/>
      <c r="M6" s="50"/>
      <c r="N6" s="391"/>
      <c r="O6" s="51"/>
    </row>
    <row r="7" spans="1:15" s="299" customFormat="1" ht="34.5" customHeight="1">
      <c r="A7" s="692" t="s">
        <v>1694</v>
      </c>
      <c r="B7" s="693"/>
      <c r="C7" s="693"/>
      <c r="D7" s="693"/>
      <c r="E7" s="693"/>
      <c r="F7" s="693"/>
      <c r="G7" s="693"/>
      <c r="H7" s="693"/>
      <c r="I7" s="693"/>
      <c r="J7" s="693"/>
      <c r="K7" s="693"/>
      <c r="L7" s="693"/>
      <c r="M7" s="693"/>
      <c r="N7" s="693"/>
      <c r="O7" s="694"/>
    </row>
    <row r="8" spans="1:15" s="299" customFormat="1" ht="4.5" customHeight="1">
      <c r="A8" s="49"/>
      <c r="B8" s="50"/>
      <c r="C8" s="389"/>
      <c r="D8" s="50"/>
      <c r="E8" s="50"/>
      <c r="F8" s="50"/>
      <c r="G8" s="50"/>
      <c r="H8" s="50"/>
      <c r="I8" s="390"/>
      <c r="J8" s="50"/>
      <c r="K8" s="50"/>
      <c r="L8" s="50"/>
      <c r="M8" s="50"/>
      <c r="N8" s="391"/>
      <c r="O8" s="51"/>
    </row>
    <row r="9" spans="1:15" s="299" customFormat="1" ht="20.100000000000001" customHeight="1">
      <c r="A9" s="812" t="s">
        <v>17</v>
      </c>
      <c r="B9" s="813"/>
      <c r="C9" s="813"/>
      <c r="D9" s="813"/>
      <c r="E9" s="813"/>
      <c r="F9" s="813"/>
      <c r="G9" s="813"/>
      <c r="H9" s="813"/>
      <c r="I9" s="813"/>
      <c r="J9" s="813"/>
      <c r="K9" s="813"/>
      <c r="L9" s="813"/>
      <c r="M9" s="813"/>
      <c r="N9" s="813"/>
      <c r="O9" s="814"/>
    </row>
    <row r="10" spans="1:15" s="299" customFormat="1" ht="20.100000000000001" customHeight="1">
      <c r="A10" s="709" t="s">
        <v>18</v>
      </c>
      <c r="B10" s="709"/>
      <c r="C10" s="709" t="s">
        <v>19</v>
      </c>
      <c r="D10" s="709"/>
      <c r="E10" s="709"/>
      <c r="F10" s="709"/>
      <c r="G10" s="709" t="s">
        <v>20</v>
      </c>
      <c r="H10" s="709"/>
      <c r="I10" s="709"/>
      <c r="J10" s="709" t="s">
        <v>21</v>
      </c>
      <c r="K10" s="709"/>
      <c r="L10" s="709"/>
      <c r="M10" s="709"/>
      <c r="N10" s="709"/>
      <c r="O10" s="709"/>
    </row>
    <row r="11" spans="1:15" s="299" customFormat="1" ht="20.100000000000001" customHeight="1">
      <c r="A11" s="808" t="s">
        <v>125</v>
      </c>
      <c r="B11" s="808"/>
      <c r="C11" s="808" t="s">
        <v>23</v>
      </c>
      <c r="D11" s="808"/>
      <c r="E11" s="808"/>
      <c r="F11" s="808"/>
      <c r="G11" s="809">
        <v>45427</v>
      </c>
      <c r="H11" s="809"/>
      <c r="I11" s="809"/>
      <c r="J11" s="808" t="s">
        <v>24</v>
      </c>
      <c r="K11" s="808"/>
      <c r="L11" s="808"/>
      <c r="M11" s="808"/>
      <c r="N11" s="808"/>
      <c r="O11" s="808"/>
    </row>
    <row r="12" spans="1:15" s="299" customFormat="1" ht="20.100000000000001" customHeight="1">
      <c r="A12" s="808" t="str">
        <f>'Planilha Resumo'!A12</f>
        <v>R8</v>
      </c>
      <c r="B12" s="808"/>
      <c r="C12" s="808" t="str">
        <f>'Planilha Resumo'!B12</f>
        <v>Atendendo à Comentários</v>
      </c>
      <c r="D12" s="808"/>
      <c r="E12" s="808"/>
      <c r="F12" s="808"/>
      <c r="G12" s="809">
        <f>'Planilha Resumo'!C12</f>
        <v>45496</v>
      </c>
      <c r="H12" s="809"/>
      <c r="I12" s="809"/>
      <c r="J12" s="808" t="str">
        <f>'Planilha Resumo'!E12</f>
        <v>Grazielle Cruz/ Marcelo F. Pereira</v>
      </c>
      <c r="K12" s="808"/>
      <c r="L12" s="808"/>
      <c r="M12" s="808"/>
      <c r="N12" s="808"/>
      <c r="O12" s="808"/>
    </row>
    <row r="13" spans="1:15" s="299" customFormat="1" ht="20.100000000000001" customHeight="1">
      <c r="A13" s="808" t="str">
        <f>'Planilha Resumo'!A13</f>
        <v>R9</v>
      </c>
      <c r="B13" s="808"/>
      <c r="C13" s="808" t="str">
        <f>'Planilha Resumo'!B13</f>
        <v>Atendendo à Comentários</v>
      </c>
      <c r="D13" s="808"/>
      <c r="E13" s="808"/>
      <c r="F13" s="808"/>
      <c r="G13" s="809">
        <f>'Planilha Resumo'!C13</f>
        <v>45504</v>
      </c>
      <c r="H13" s="809"/>
      <c r="I13" s="809"/>
      <c r="J13" s="808" t="str">
        <f>'Planilha Resumo'!E13</f>
        <v>Grazielle Cruz/ Marcelo F. Pereira</v>
      </c>
      <c r="K13" s="808"/>
      <c r="L13" s="808"/>
      <c r="M13" s="808"/>
      <c r="N13" s="808"/>
      <c r="O13" s="808"/>
    </row>
    <row r="14" spans="1:15" s="299" customFormat="1" ht="4.5" customHeight="1">
      <c r="A14" s="49"/>
      <c r="B14" s="50"/>
      <c r="C14" s="389"/>
      <c r="D14" s="50"/>
      <c r="E14" s="50"/>
      <c r="F14" s="50"/>
      <c r="G14" s="50"/>
      <c r="H14" s="50"/>
      <c r="I14" s="390"/>
      <c r="J14" s="50"/>
      <c r="K14" s="50"/>
      <c r="L14" s="50"/>
      <c r="M14" s="50"/>
      <c r="N14" s="391"/>
      <c r="O14" s="51"/>
    </row>
    <row r="15" spans="1:15" s="300" customFormat="1">
      <c r="A15" s="392" t="s">
        <v>131</v>
      </c>
      <c r="B15" s="392" t="s">
        <v>1280</v>
      </c>
      <c r="C15" s="393" t="s">
        <v>131</v>
      </c>
      <c r="D15" s="394" t="s">
        <v>1281</v>
      </c>
      <c r="E15" s="395" t="s">
        <v>127</v>
      </c>
      <c r="F15" s="396" t="s">
        <v>128</v>
      </c>
      <c r="G15" s="397"/>
      <c r="H15" s="398" t="s">
        <v>1282</v>
      </c>
      <c r="I15" s="398" t="s">
        <v>1283</v>
      </c>
      <c r="J15" s="398" t="s">
        <v>1284</v>
      </c>
      <c r="K15" s="398" t="s">
        <v>1285</v>
      </c>
      <c r="L15" s="398" t="s">
        <v>1286</v>
      </c>
      <c r="M15" s="398" t="s">
        <v>1287</v>
      </c>
      <c r="N15" s="806" t="s">
        <v>1288</v>
      </c>
      <c r="O15" s="807"/>
    </row>
    <row r="16" spans="1:15" s="300" customFormat="1" ht="29.25" customHeight="1">
      <c r="A16" s="803" t="s">
        <v>83</v>
      </c>
      <c r="B16" s="804"/>
      <c r="C16" s="804"/>
      <c r="D16" s="804"/>
      <c r="E16" s="804"/>
      <c r="F16" s="804"/>
      <c r="G16" s="804"/>
      <c r="H16" s="804"/>
      <c r="I16" s="804"/>
      <c r="J16" s="804"/>
      <c r="K16" s="804"/>
      <c r="L16" s="804"/>
      <c r="M16" s="804"/>
      <c r="N16" s="804"/>
      <c r="O16" s="805"/>
    </row>
    <row r="17" spans="1:15">
      <c r="A17" s="301">
        <v>1</v>
      </c>
      <c r="B17" s="302"/>
      <c r="C17" s="303"/>
      <c r="D17" s="304" t="s">
        <v>85</v>
      </c>
      <c r="E17" s="305"/>
      <c r="F17" s="306"/>
      <c r="G17" s="307"/>
      <c r="H17" s="307"/>
      <c r="I17" s="307"/>
      <c r="J17" s="307"/>
      <c r="K17" s="307"/>
      <c r="L17" s="307"/>
      <c r="M17" s="308"/>
      <c r="N17" s="402"/>
      <c r="O17" s="308"/>
    </row>
    <row r="18" spans="1:15">
      <c r="A18" s="311" t="s">
        <v>32</v>
      </c>
      <c r="B18" s="312"/>
      <c r="C18" s="313"/>
      <c r="D18" s="314" t="s">
        <v>55</v>
      </c>
      <c r="E18" s="327"/>
      <c r="F18" s="328"/>
      <c r="G18" s="329"/>
      <c r="H18" s="329"/>
      <c r="I18" s="329"/>
      <c r="J18" s="329"/>
      <c r="K18" s="329"/>
      <c r="L18" s="329"/>
      <c r="M18" s="330"/>
      <c r="N18" s="407"/>
      <c r="O18" s="330"/>
    </row>
    <row r="19" spans="1:15">
      <c r="A19" s="339" t="s">
        <v>35</v>
      </c>
      <c r="B19" s="339" t="s">
        <v>160</v>
      </c>
      <c r="C19" s="340" t="s">
        <v>1695</v>
      </c>
      <c r="D19" s="341" t="s">
        <v>752</v>
      </c>
      <c r="E19" s="342" t="s">
        <v>163</v>
      </c>
      <c r="F19" s="343"/>
      <c r="G19" s="344"/>
      <c r="H19" s="345"/>
      <c r="I19" s="345"/>
      <c r="J19" s="345"/>
      <c r="K19" s="345"/>
      <c r="L19" s="345"/>
      <c r="M19" s="346">
        <f>SUM(M20:M21)</f>
        <v>1</v>
      </c>
      <c r="N19" s="408"/>
      <c r="O19" s="409"/>
    </row>
    <row r="20" spans="1:15">
      <c r="A20" s="347"/>
      <c r="B20" s="347"/>
      <c r="C20" s="348"/>
      <c r="D20" s="421" t="s">
        <v>1696</v>
      </c>
      <c r="E20" s="361"/>
      <c r="F20" s="351">
        <v>1</v>
      </c>
      <c r="G20" s="352"/>
      <c r="H20" s="353"/>
      <c r="I20" s="353"/>
      <c r="J20" s="353"/>
      <c r="K20" s="353"/>
      <c r="L20" s="353"/>
      <c r="M20" s="353">
        <f>F20</f>
        <v>1</v>
      </c>
      <c r="N20" s="405"/>
      <c r="O20" s="352"/>
    </row>
    <row r="21" spans="1:15">
      <c r="A21" s="347"/>
      <c r="B21" s="347"/>
      <c r="C21" s="348"/>
      <c r="D21" s="349"/>
      <c r="E21" s="361"/>
      <c r="F21" s="351"/>
      <c r="G21" s="352"/>
      <c r="H21" s="353"/>
      <c r="I21" s="353"/>
      <c r="J21" s="353"/>
      <c r="K21" s="353"/>
      <c r="L21" s="353"/>
      <c r="M21" s="353"/>
      <c r="N21" s="405"/>
      <c r="O21" s="352"/>
    </row>
    <row r="22" spans="1:15">
      <c r="A22" s="339" t="s">
        <v>37</v>
      </c>
      <c r="B22" s="339" t="s">
        <v>160</v>
      </c>
      <c r="C22" s="340" t="s">
        <v>754</v>
      </c>
      <c r="D22" s="341" t="s">
        <v>755</v>
      </c>
      <c r="E22" s="342" t="s">
        <v>163</v>
      </c>
      <c r="F22" s="343"/>
      <c r="G22" s="344"/>
      <c r="H22" s="345"/>
      <c r="I22" s="345"/>
      <c r="J22" s="345"/>
      <c r="K22" s="345"/>
      <c r="L22" s="345"/>
      <c r="M22" s="346">
        <f>SUM(M23:M24)</f>
        <v>1</v>
      </c>
      <c r="N22" s="408"/>
      <c r="O22" s="409"/>
    </row>
    <row r="23" spans="1:15">
      <c r="A23" s="347"/>
      <c r="B23" s="347"/>
      <c r="C23" s="348"/>
      <c r="D23" s="421" t="s">
        <v>1696</v>
      </c>
      <c r="E23" s="361"/>
      <c r="F23" s="351">
        <v>1</v>
      </c>
      <c r="G23" s="352"/>
      <c r="H23" s="353"/>
      <c r="I23" s="353"/>
      <c r="J23" s="353"/>
      <c r="K23" s="353"/>
      <c r="L23" s="353"/>
      <c r="M23" s="353">
        <f>F23</f>
        <v>1</v>
      </c>
      <c r="N23" s="405"/>
      <c r="O23" s="352"/>
    </row>
    <row r="24" spans="1:15">
      <c r="A24" s="347"/>
      <c r="B24" s="347"/>
      <c r="C24" s="348"/>
      <c r="D24" s="349"/>
      <c r="E24" s="361"/>
      <c r="F24" s="351"/>
      <c r="G24" s="352"/>
      <c r="H24" s="353"/>
      <c r="I24" s="353"/>
      <c r="J24" s="353"/>
      <c r="K24" s="353"/>
      <c r="L24" s="353"/>
      <c r="M24" s="353"/>
      <c r="N24" s="405"/>
      <c r="O24" s="352"/>
    </row>
    <row r="25" spans="1:15">
      <c r="A25" s="339" t="s">
        <v>1292</v>
      </c>
      <c r="B25" s="339" t="s">
        <v>3</v>
      </c>
      <c r="C25" s="340" t="s">
        <v>757</v>
      </c>
      <c r="D25" s="341" t="s">
        <v>758</v>
      </c>
      <c r="E25" s="342" t="s">
        <v>150</v>
      </c>
      <c r="F25" s="343"/>
      <c r="G25" s="344"/>
      <c r="H25" s="345"/>
      <c r="I25" s="345"/>
      <c r="J25" s="345"/>
      <c r="K25" s="345"/>
      <c r="L25" s="345"/>
      <c r="M25" s="346">
        <f>SUM(M26:M27)</f>
        <v>150</v>
      </c>
      <c r="N25" s="408"/>
      <c r="O25" s="409"/>
    </row>
    <row r="26" spans="1:15">
      <c r="A26" s="347"/>
      <c r="B26" s="347"/>
      <c r="C26" s="348"/>
      <c r="D26" s="421" t="s">
        <v>1696</v>
      </c>
      <c r="E26" s="361"/>
      <c r="G26" s="352"/>
      <c r="H26" s="351">
        <v>150</v>
      </c>
      <c r="I26" s="353"/>
      <c r="J26" s="353"/>
      <c r="K26" s="353"/>
      <c r="L26" s="353"/>
      <c r="M26" s="353">
        <f>H26</f>
        <v>150</v>
      </c>
      <c r="N26" s="405"/>
      <c r="O26" s="352"/>
    </row>
    <row r="27" spans="1:15">
      <c r="A27" s="347"/>
      <c r="B27" s="347"/>
      <c r="C27" s="348"/>
      <c r="D27" s="349"/>
      <c r="E27" s="361"/>
      <c r="F27" s="351"/>
      <c r="G27" s="352"/>
      <c r="H27" s="353"/>
      <c r="I27" s="353"/>
      <c r="J27" s="353"/>
      <c r="K27" s="353"/>
      <c r="L27" s="353"/>
      <c r="M27" s="353"/>
      <c r="N27" s="405"/>
      <c r="O27" s="352"/>
    </row>
    <row r="28" spans="1:15">
      <c r="A28" s="339" t="s">
        <v>1294</v>
      </c>
      <c r="B28" s="339" t="s">
        <v>2</v>
      </c>
      <c r="C28" s="340">
        <v>97640</v>
      </c>
      <c r="D28" s="341" t="s">
        <v>760</v>
      </c>
      <c r="E28" s="342" t="s">
        <v>150</v>
      </c>
      <c r="F28" s="343"/>
      <c r="G28" s="344"/>
      <c r="H28" s="345"/>
      <c r="I28" s="345"/>
      <c r="J28" s="345"/>
      <c r="K28" s="345"/>
      <c r="L28" s="345"/>
      <c r="M28" s="346">
        <f>SUM(M29:M30)</f>
        <v>1155</v>
      </c>
      <c r="N28" s="408"/>
      <c r="O28" s="409"/>
    </row>
    <row r="29" spans="1:15">
      <c r="A29" s="347"/>
      <c r="B29" s="347"/>
      <c r="C29" s="348"/>
      <c r="D29" s="421" t="s">
        <v>1696</v>
      </c>
      <c r="E29" s="361"/>
      <c r="F29" s="351">
        <f>H688</f>
        <v>1155</v>
      </c>
      <c r="G29" s="352"/>
      <c r="H29" s="353"/>
      <c r="I29" s="353"/>
      <c r="J29" s="353"/>
      <c r="K29" s="353"/>
      <c r="L29" s="353"/>
      <c r="M29" s="353">
        <f>F29</f>
        <v>1155</v>
      </c>
      <c r="N29" s="405"/>
      <c r="O29" s="352"/>
    </row>
    <row r="30" spans="1:15">
      <c r="A30" s="347"/>
      <c r="B30" s="347"/>
      <c r="C30" s="348"/>
      <c r="D30" s="349"/>
      <c r="E30" s="361"/>
      <c r="F30" s="351"/>
      <c r="G30" s="352"/>
      <c r="H30" s="353"/>
      <c r="I30" s="353"/>
      <c r="J30" s="353"/>
      <c r="K30" s="353"/>
      <c r="L30" s="353"/>
      <c r="M30" s="353"/>
      <c r="N30" s="405"/>
      <c r="O30" s="352"/>
    </row>
    <row r="31" spans="1:15">
      <c r="A31" s="311" t="s">
        <v>39</v>
      </c>
      <c r="B31" s="312"/>
      <c r="C31" s="313"/>
      <c r="D31" s="314" t="s">
        <v>61</v>
      </c>
      <c r="E31" s="327"/>
      <c r="F31" s="328"/>
      <c r="G31" s="329"/>
      <c r="H31" s="329"/>
      <c r="I31" s="329"/>
      <c r="J31" s="329"/>
      <c r="K31" s="329"/>
      <c r="L31" s="329"/>
      <c r="M31" s="330"/>
      <c r="N31" s="407"/>
      <c r="O31" s="330"/>
    </row>
    <row r="32" spans="1:15">
      <c r="A32" s="339" t="s">
        <v>41</v>
      </c>
      <c r="B32" s="339" t="s">
        <v>4</v>
      </c>
      <c r="C32" s="340" t="s">
        <v>156</v>
      </c>
      <c r="D32" s="341" t="s">
        <v>157</v>
      </c>
      <c r="E32" s="342" t="s">
        <v>158</v>
      </c>
      <c r="F32" s="343"/>
      <c r="G32" s="344"/>
      <c r="H32" s="345"/>
      <c r="I32" s="345"/>
      <c r="J32" s="345"/>
      <c r="K32" s="345"/>
      <c r="L32" s="345"/>
      <c r="M32" s="346">
        <f>SUM(M33:M34)</f>
        <v>47</v>
      </c>
      <c r="N32" s="408"/>
      <c r="O32" s="409"/>
    </row>
    <row r="33" spans="1:15">
      <c r="A33" s="347"/>
      <c r="B33" s="347"/>
      <c r="C33" s="348"/>
      <c r="D33" s="349" t="s">
        <v>1400</v>
      </c>
      <c r="E33" s="361"/>
      <c r="F33" s="351">
        <f>(M25+M28)*0.1*1.8</f>
        <v>234.9</v>
      </c>
      <c r="G33" s="352">
        <v>5</v>
      </c>
      <c r="H33" s="353"/>
      <c r="I33" s="353"/>
      <c r="J33" s="353"/>
      <c r="K33" s="353"/>
      <c r="L33" s="353"/>
      <c r="M33" s="353">
        <f>ROUNDUP((F33/G33),0)</f>
        <v>47</v>
      </c>
      <c r="N33" s="405"/>
      <c r="O33" s="352"/>
    </row>
    <row r="34" spans="1:15">
      <c r="A34" s="347"/>
      <c r="B34" s="347"/>
      <c r="C34" s="348"/>
      <c r="D34" s="349"/>
      <c r="E34" s="361"/>
      <c r="F34" s="351"/>
      <c r="G34" s="352"/>
      <c r="H34" s="353"/>
      <c r="I34" s="353"/>
      <c r="J34" s="353"/>
      <c r="K34" s="353"/>
      <c r="L34" s="353"/>
      <c r="M34" s="353"/>
      <c r="N34" s="405"/>
      <c r="O34" s="352"/>
    </row>
    <row r="35" spans="1:15">
      <c r="A35" s="319"/>
      <c r="B35" s="320"/>
      <c r="C35" s="321"/>
      <c r="D35" s="322"/>
      <c r="E35" s="320"/>
      <c r="F35" s="323"/>
      <c r="G35" s="324"/>
      <c r="H35" s="324"/>
      <c r="I35" s="324"/>
      <c r="J35" s="324"/>
      <c r="K35" s="324"/>
      <c r="L35" s="324"/>
      <c r="M35" s="324"/>
      <c r="N35" s="325"/>
      <c r="O35" s="326"/>
    </row>
    <row r="36" spans="1:15">
      <c r="A36" s="301">
        <v>2</v>
      </c>
      <c r="B36" s="302"/>
      <c r="C36" s="303"/>
      <c r="D36" s="304" t="s">
        <v>89</v>
      </c>
      <c r="E36" s="305"/>
      <c r="F36" s="331"/>
      <c r="G36" s="307"/>
      <c r="H36" s="307"/>
      <c r="I36" s="307"/>
      <c r="J36" s="307"/>
      <c r="K36" s="307"/>
      <c r="L36" s="307"/>
      <c r="M36" s="308"/>
      <c r="N36" s="402"/>
      <c r="O36" s="308"/>
    </row>
    <row r="37" spans="1:15">
      <c r="A37" s="311" t="s">
        <v>52</v>
      </c>
      <c r="B37" s="312"/>
      <c r="C37" s="313"/>
      <c r="D37" s="314" t="s">
        <v>92</v>
      </c>
      <c r="E37" s="327"/>
      <c r="F37" s="332"/>
      <c r="G37" s="329"/>
      <c r="H37" s="329"/>
      <c r="I37" s="329"/>
      <c r="J37" s="329"/>
      <c r="K37" s="329"/>
      <c r="L37" s="329"/>
      <c r="M37" s="330"/>
      <c r="N37" s="407"/>
      <c r="O37" s="330"/>
    </row>
    <row r="38" spans="1:15" ht="31.5">
      <c r="A38" s="339" t="s">
        <v>54</v>
      </c>
      <c r="B38" s="339" t="s">
        <v>160</v>
      </c>
      <c r="C38" s="340" t="s">
        <v>772</v>
      </c>
      <c r="D38" s="341" t="s">
        <v>773</v>
      </c>
      <c r="E38" s="342" t="s">
        <v>150</v>
      </c>
      <c r="F38" s="343"/>
      <c r="G38" s="344"/>
      <c r="H38" s="345"/>
      <c r="I38" s="345"/>
      <c r="J38" s="345"/>
      <c r="K38" s="345"/>
      <c r="L38" s="345"/>
      <c r="M38" s="346">
        <f>SUM(M39:M42)</f>
        <v>126.50300000000001</v>
      </c>
      <c r="N38" s="408"/>
      <c r="O38" s="409"/>
    </row>
    <row r="39" spans="1:15">
      <c r="A39" s="347"/>
      <c r="B39" s="347"/>
      <c r="C39" s="348"/>
      <c r="D39" s="421" t="s">
        <v>1697</v>
      </c>
      <c r="E39" s="361"/>
      <c r="F39" s="423"/>
      <c r="G39" s="352"/>
      <c r="H39" s="353"/>
      <c r="I39" s="423">
        <v>10</v>
      </c>
      <c r="J39" s="353"/>
      <c r="K39" s="425">
        <v>3.7</v>
      </c>
      <c r="L39" s="353"/>
      <c r="M39" s="353">
        <f>I39*K39</f>
        <v>37</v>
      </c>
      <c r="N39" s="405"/>
      <c r="O39" s="352"/>
    </row>
    <row r="40" spans="1:15">
      <c r="A40" s="347"/>
      <c r="B40" s="347"/>
      <c r="C40" s="348"/>
      <c r="D40" s="421" t="s">
        <v>1698</v>
      </c>
      <c r="E40" s="361"/>
      <c r="F40" s="423"/>
      <c r="G40" s="352"/>
      <c r="H40" s="353"/>
      <c r="I40" s="423">
        <v>9.9600000000000009</v>
      </c>
      <c r="J40" s="353"/>
      <c r="K40" s="425">
        <v>3.7</v>
      </c>
      <c r="L40" s="353"/>
      <c r="M40" s="353">
        <f>I40*K40</f>
        <v>36.852000000000004</v>
      </c>
      <c r="N40" s="405"/>
      <c r="O40" s="352"/>
    </row>
    <row r="41" spans="1:15">
      <c r="A41" s="347"/>
      <c r="B41" s="347"/>
      <c r="C41" s="348"/>
      <c r="D41" s="421" t="s">
        <v>1699</v>
      </c>
      <c r="E41" s="422"/>
      <c r="F41" s="423"/>
      <c r="G41" s="352"/>
      <c r="H41" s="353"/>
      <c r="I41" s="353">
        <v>14.23</v>
      </c>
      <c r="J41" s="353"/>
      <c r="K41" s="353">
        <v>3.7</v>
      </c>
      <c r="L41" s="353"/>
      <c r="M41" s="353">
        <f>I41*K41</f>
        <v>52.651000000000003</v>
      </c>
      <c r="N41" s="405"/>
      <c r="O41" s="352"/>
    </row>
    <row r="42" spans="1:15">
      <c r="A42" s="347"/>
      <c r="B42" s="347"/>
      <c r="C42" s="348"/>
      <c r="D42" s="349"/>
      <c r="E42" s="361"/>
      <c r="F42" s="351"/>
      <c r="G42" s="352"/>
      <c r="H42" s="353"/>
      <c r="I42" s="353"/>
      <c r="J42" s="353"/>
      <c r="K42" s="353"/>
      <c r="L42" s="353"/>
      <c r="M42" s="353"/>
      <c r="N42" s="405"/>
      <c r="O42" s="352"/>
    </row>
    <row r="43" spans="1:15">
      <c r="A43" s="339" t="s">
        <v>56</v>
      </c>
      <c r="B43" s="339" t="s">
        <v>2</v>
      </c>
      <c r="C43" s="340">
        <v>96360</v>
      </c>
      <c r="D43" s="341" t="s">
        <v>774</v>
      </c>
      <c r="E43" s="342" t="s">
        <v>150</v>
      </c>
      <c r="F43" s="343"/>
      <c r="G43" s="344"/>
      <c r="H43" s="345"/>
      <c r="I43" s="345"/>
      <c r="J43" s="345"/>
      <c r="K43" s="345"/>
      <c r="L43" s="345"/>
      <c r="M43" s="346">
        <f>SUM(M44:M47)</f>
        <v>28.971</v>
      </c>
      <c r="N43" s="408"/>
      <c r="O43" s="409"/>
    </row>
    <row r="44" spans="1:15">
      <c r="A44" s="347"/>
      <c r="B44" s="347"/>
      <c r="C44" s="348"/>
      <c r="D44" s="421" t="s">
        <v>1697</v>
      </c>
      <c r="E44" s="422"/>
      <c r="F44" s="423"/>
      <c r="G44" s="352"/>
      <c r="H44" s="353"/>
      <c r="I44" s="423">
        <v>2.83</v>
      </c>
      <c r="J44" s="353"/>
      <c r="K44" s="425">
        <v>3.7</v>
      </c>
      <c r="L44" s="353"/>
      <c r="M44" s="353">
        <f>I44*K44</f>
        <v>10.471</v>
      </c>
      <c r="N44" s="405"/>
      <c r="O44" s="352"/>
    </row>
    <row r="45" spans="1:15">
      <c r="A45" s="347"/>
      <c r="B45" s="347"/>
      <c r="C45" s="348"/>
      <c r="D45" s="421" t="s">
        <v>1698</v>
      </c>
      <c r="E45" s="422"/>
      <c r="F45" s="423"/>
      <c r="G45" s="352"/>
      <c r="H45" s="353"/>
      <c r="I45" s="423">
        <v>2.84</v>
      </c>
      <c r="J45" s="353"/>
      <c r="K45" s="425">
        <v>3.7</v>
      </c>
      <c r="L45" s="353"/>
      <c r="M45" s="353">
        <f>I45*K45</f>
        <v>10.507999999999999</v>
      </c>
      <c r="N45" s="405"/>
      <c r="O45" s="352"/>
    </row>
    <row r="46" spans="1:15">
      <c r="A46" s="347"/>
      <c r="B46" s="347"/>
      <c r="C46" s="348"/>
      <c r="D46" s="421" t="s">
        <v>1699</v>
      </c>
      <c r="E46" s="422"/>
      <c r="F46" s="423"/>
      <c r="G46" s="352"/>
      <c r="H46" s="353"/>
      <c r="I46" s="353">
        <v>2.16</v>
      </c>
      <c r="J46" s="353"/>
      <c r="K46" s="353">
        <v>3.7</v>
      </c>
      <c r="L46" s="353"/>
      <c r="M46" s="353">
        <f>I46*K46</f>
        <v>7.9920000000000009</v>
      </c>
      <c r="N46" s="405"/>
      <c r="O46" s="352"/>
    </row>
    <row r="47" spans="1:15">
      <c r="A47" s="347"/>
      <c r="B47" s="347"/>
      <c r="C47" s="348"/>
      <c r="D47" s="349"/>
      <c r="E47" s="361"/>
      <c r="F47" s="351"/>
      <c r="G47" s="352"/>
      <c r="H47" s="353"/>
      <c r="I47" s="353"/>
      <c r="J47" s="353"/>
      <c r="K47" s="353"/>
      <c r="L47" s="353"/>
      <c r="M47" s="353"/>
      <c r="N47" s="405"/>
      <c r="O47" s="352"/>
    </row>
    <row r="48" spans="1:15" ht="31.5">
      <c r="A48" s="339" t="s">
        <v>58</v>
      </c>
      <c r="B48" s="339" t="s">
        <v>2</v>
      </c>
      <c r="C48" s="340">
        <v>90793</v>
      </c>
      <c r="D48" s="341" t="s">
        <v>776</v>
      </c>
      <c r="E48" s="342" t="s">
        <v>167</v>
      </c>
      <c r="F48" s="343"/>
      <c r="G48" s="344"/>
      <c r="H48" s="345"/>
      <c r="I48" s="345"/>
      <c r="J48" s="345"/>
      <c r="K48" s="345"/>
      <c r="L48" s="345"/>
      <c r="M48" s="346">
        <f>SUM(M49:M50)</f>
        <v>2</v>
      </c>
      <c r="N48" s="408"/>
      <c r="O48" s="409"/>
    </row>
    <row r="49" spans="1:15">
      <c r="A49" s="347"/>
      <c r="B49" s="347"/>
      <c r="C49" s="348"/>
      <c r="D49" s="421"/>
      <c r="E49" s="422"/>
      <c r="F49" s="423">
        <v>2</v>
      </c>
      <c r="G49" s="352"/>
      <c r="H49" s="353"/>
      <c r="I49" s="353"/>
      <c r="J49" s="353"/>
      <c r="K49" s="353"/>
      <c r="L49" s="353"/>
      <c r="M49" s="353">
        <f>F49</f>
        <v>2</v>
      </c>
      <c r="N49" s="405"/>
      <c r="O49" s="352"/>
    </row>
    <row r="50" spans="1:15">
      <c r="A50" s="347"/>
      <c r="B50" s="347"/>
      <c r="C50" s="348"/>
      <c r="D50" s="349"/>
      <c r="E50" s="361"/>
      <c r="F50" s="351"/>
      <c r="G50" s="352"/>
      <c r="H50" s="353"/>
      <c r="I50" s="353"/>
      <c r="J50" s="353"/>
      <c r="K50" s="353"/>
      <c r="L50" s="353"/>
      <c r="M50" s="353"/>
      <c r="N50" s="405"/>
      <c r="O50" s="352"/>
    </row>
    <row r="51" spans="1:15" ht="31.5">
      <c r="A51" s="339" t="s">
        <v>59</v>
      </c>
      <c r="B51" s="339" t="s">
        <v>2</v>
      </c>
      <c r="C51" s="340">
        <v>90793</v>
      </c>
      <c r="D51" s="341" t="s">
        <v>778</v>
      </c>
      <c r="E51" s="342" t="s">
        <v>167</v>
      </c>
      <c r="F51" s="343"/>
      <c r="G51" s="344"/>
      <c r="H51" s="345"/>
      <c r="I51" s="345"/>
      <c r="J51" s="345"/>
      <c r="K51" s="345"/>
      <c r="L51" s="345"/>
      <c r="M51" s="346">
        <f>SUM(M52:M53)</f>
        <v>2</v>
      </c>
      <c r="N51" s="408"/>
      <c r="O51" s="409"/>
    </row>
    <row r="52" spans="1:15">
      <c r="A52" s="347"/>
      <c r="B52" s="347"/>
      <c r="C52" s="348"/>
      <c r="D52" s="421"/>
      <c r="E52" s="422"/>
      <c r="F52" s="423">
        <v>2</v>
      </c>
      <c r="G52" s="352"/>
      <c r="H52" s="353"/>
      <c r="I52" s="353"/>
      <c r="J52" s="353"/>
      <c r="K52" s="353"/>
      <c r="L52" s="353"/>
      <c r="M52" s="353">
        <f>F52</f>
        <v>2</v>
      </c>
      <c r="N52" s="405"/>
      <c r="O52" s="352"/>
    </row>
    <row r="53" spans="1:15">
      <c r="A53" s="347"/>
      <c r="B53" s="347"/>
      <c r="C53" s="348"/>
      <c r="D53" s="349"/>
      <c r="E53" s="361"/>
      <c r="F53" s="351"/>
      <c r="G53" s="352"/>
      <c r="H53" s="353"/>
      <c r="I53" s="353"/>
      <c r="J53" s="353"/>
      <c r="K53" s="353"/>
      <c r="L53" s="353"/>
      <c r="M53" s="353"/>
      <c r="N53" s="405"/>
      <c r="O53" s="352"/>
    </row>
    <row r="54" spans="1:15" ht="31.5">
      <c r="A54" s="339" t="s">
        <v>60</v>
      </c>
      <c r="B54" s="339" t="s">
        <v>160</v>
      </c>
      <c r="C54" s="340" t="s">
        <v>780</v>
      </c>
      <c r="D54" s="341" t="s">
        <v>781</v>
      </c>
      <c r="E54" s="342" t="s">
        <v>167</v>
      </c>
      <c r="F54" s="343"/>
      <c r="G54" s="344"/>
      <c r="H54" s="345"/>
      <c r="I54" s="345"/>
      <c r="J54" s="345"/>
      <c r="K54" s="345"/>
      <c r="L54" s="345"/>
      <c r="M54" s="346">
        <f>SUM(M55:M56)</f>
        <v>3</v>
      </c>
      <c r="N54" s="408"/>
      <c r="O54" s="409"/>
    </row>
    <row r="55" spans="1:15">
      <c r="A55" s="347"/>
      <c r="B55" s="347"/>
      <c r="C55" s="348"/>
      <c r="D55" s="421"/>
      <c r="E55" s="422"/>
      <c r="F55" s="423">
        <v>3</v>
      </c>
      <c r="G55" s="352"/>
      <c r="H55" s="353"/>
      <c r="I55" s="353"/>
      <c r="J55" s="353"/>
      <c r="K55" s="353"/>
      <c r="L55" s="353"/>
      <c r="M55" s="353">
        <f>F55</f>
        <v>3</v>
      </c>
      <c r="N55" s="405"/>
      <c r="O55" s="352"/>
    </row>
    <row r="56" spans="1:15">
      <c r="A56" s="347"/>
      <c r="B56" s="347"/>
      <c r="C56" s="348"/>
      <c r="D56" s="349"/>
      <c r="E56" s="361"/>
      <c r="F56" s="351"/>
      <c r="G56" s="352"/>
      <c r="H56" s="353"/>
      <c r="I56" s="353"/>
      <c r="J56" s="353"/>
      <c r="K56" s="353"/>
      <c r="L56" s="353"/>
      <c r="M56" s="353"/>
      <c r="N56" s="405"/>
      <c r="O56" s="352"/>
    </row>
    <row r="57" spans="1:15" ht="31.5">
      <c r="A57" s="339" t="s">
        <v>1398</v>
      </c>
      <c r="B57" s="339" t="s">
        <v>160</v>
      </c>
      <c r="C57" s="340" t="s">
        <v>783</v>
      </c>
      <c r="D57" s="341" t="s">
        <v>784</v>
      </c>
      <c r="E57" s="342" t="s">
        <v>167</v>
      </c>
      <c r="F57" s="343"/>
      <c r="G57" s="344"/>
      <c r="H57" s="345"/>
      <c r="I57" s="345"/>
      <c r="J57" s="345"/>
      <c r="K57" s="345"/>
      <c r="L57" s="345"/>
      <c r="M57" s="346">
        <f>SUM(M58:M59)</f>
        <v>7</v>
      </c>
      <c r="N57" s="408"/>
      <c r="O57" s="409"/>
    </row>
    <row r="58" spans="1:15">
      <c r="A58" s="347"/>
      <c r="B58" s="347"/>
      <c r="C58" s="348"/>
      <c r="D58" s="421"/>
      <c r="E58" s="422"/>
      <c r="F58" s="423">
        <v>7</v>
      </c>
      <c r="G58" s="352"/>
      <c r="H58" s="353"/>
      <c r="I58" s="353"/>
      <c r="J58" s="353"/>
      <c r="K58" s="353"/>
      <c r="L58" s="353"/>
      <c r="M58" s="353">
        <f>F58</f>
        <v>7</v>
      </c>
      <c r="N58" s="405"/>
      <c r="O58" s="352"/>
    </row>
    <row r="59" spans="1:15">
      <c r="A59" s="347"/>
      <c r="B59" s="347"/>
      <c r="C59" s="348"/>
      <c r="D59" s="349"/>
      <c r="E59" s="361"/>
      <c r="F59" s="351"/>
      <c r="G59" s="352"/>
      <c r="H59" s="353"/>
      <c r="I59" s="353"/>
      <c r="J59" s="353"/>
      <c r="K59" s="353"/>
      <c r="L59" s="353"/>
      <c r="M59" s="353"/>
      <c r="N59" s="405"/>
      <c r="O59" s="352"/>
    </row>
    <row r="60" spans="1:15" ht="31.5">
      <c r="A60" s="339" t="s">
        <v>1399</v>
      </c>
      <c r="B60" s="339" t="s">
        <v>160</v>
      </c>
      <c r="C60" s="340" t="s">
        <v>786</v>
      </c>
      <c r="D60" s="341" t="s">
        <v>787</v>
      </c>
      <c r="E60" s="342" t="s">
        <v>167</v>
      </c>
      <c r="F60" s="343"/>
      <c r="G60" s="344"/>
      <c r="H60" s="345"/>
      <c r="I60" s="345"/>
      <c r="J60" s="345"/>
      <c r="K60" s="345"/>
      <c r="L60" s="345"/>
      <c r="M60" s="346">
        <f>SUM(M61:M62)</f>
        <v>1</v>
      </c>
      <c r="N60" s="408"/>
      <c r="O60" s="409"/>
    </row>
    <row r="61" spans="1:15">
      <c r="A61" s="347"/>
      <c r="B61" s="347"/>
      <c r="C61" s="348"/>
      <c r="D61" s="421"/>
      <c r="E61" s="422"/>
      <c r="F61" s="423">
        <v>1</v>
      </c>
      <c r="G61" s="352"/>
      <c r="H61" s="353"/>
      <c r="I61" s="353"/>
      <c r="J61" s="353"/>
      <c r="K61" s="353"/>
      <c r="L61" s="353"/>
      <c r="M61" s="353">
        <f>F61</f>
        <v>1</v>
      </c>
      <c r="N61" s="405"/>
      <c r="O61" s="352"/>
    </row>
    <row r="62" spans="1:15">
      <c r="A62" s="347"/>
      <c r="B62" s="347"/>
      <c r="C62" s="348"/>
      <c r="D62" s="349"/>
      <c r="E62" s="361"/>
      <c r="F62" s="351"/>
      <c r="G62" s="352"/>
      <c r="H62" s="353"/>
      <c r="I62" s="353"/>
      <c r="J62" s="353"/>
      <c r="K62" s="353"/>
      <c r="L62" s="353"/>
      <c r="M62" s="353"/>
      <c r="N62" s="405"/>
      <c r="O62" s="352"/>
    </row>
    <row r="63" spans="1:15" ht="31.5">
      <c r="A63" s="339" t="s">
        <v>1700</v>
      </c>
      <c r="B63" s="339" t="s">
        <v>160</v>
      </c>
      <c r="C63" s="340" t="s">
        <v>789</v>
      </c>
      <c r="D63" s="341" t="s">
        <v>790</v>
      </c>
      <c r="E63" s="342" t="s">
        <v>167</v>
      </c>
      <c r="F63" s="343"/>
      <c r="G63" s="344"/>
      <c r="H63" s="345"/>
      <c r="I63" s="345"/>
      <c r="J63" s="345"/>
      <c r="K63" s="345"/>
      <c r="L63" s="345"/>
      <c r="M63" s="346">
        <f>SUM(M64:M65)</f>
        <v>2</v>
      </c>
      <c r="N63" s="408"/>
      <c r="O63" s="409"/>
    </row>
    <row r="64" spans="1:15">
      <c r="A64" s="347"/>
      <c r="B64" s="347"/>
      <c r="C64" s="348"/>
      <c r="D64" s="421"/>
      <c r="E64" s="422"/>
      <c r="F64" s="423">
        <v>2</v>
      </c>
      <c r="G64" s="352"/>
      <c r="H64" s="353"/>
      <c r="I64" s="353"/>
      <c r="J64" s="353"/>
      <c r="K64" s="353"/>
      <c r="L64" s="353"/>
      <c r="M64" s="353">
        <f>F64</f>
        <v>2</v>
      </c>
      <c r="N64" s="405"/>
      <c r="O64" s="352"/>
    </row>
    <row r="65" spans="1:15">
      <c r="A65" s="347"/>
      <c r="B65" s="347"/>
      <c r="C65" s="348"/>
      <c r="D65" s="349"/>
      <c r="E65" s="361"/>
      <c r="F65" s="351"/>
      <c r="G65" s="352"/>
      <c r="H65" s="353"/>
      <c r="I65" s="353"/>
      <c r="J65" s="353"/>
      <c r="K65" s="353"/>
      <c r="L65" s="353"/>
      <c r="M65" s="353"/>
      <c r="N65" s="405"/>
      <c r="O65" s="352"/>
    </row>
    <row r="66" spans="1:15">
      <c r="A66" s="339" t="s">
        <v>1701</v>
      </c>
      <c r="B66" s="339" t="s">
        <v>2</v>
      </c>
      <c r="C66" s="340">
        <v>88489</v>
      </c>
      <c r="D66" s="341" t="s">
        <v>792</v>
      </c>
      <c r="E66" s="342" t="s">
        <v>150</v>
      </c>
      <c r="F66" s="343"/>
      <c r="G66" s="344"/>
      <c r="H66" s="345"/>
      <c r="I66" s="345"/>
      <c r="J66" s="345"/>
      <c r="K66" s="345"/>
      <c r="L66" s="345"/>
      <c r="M66" s="346">
        <f>SUM(M67:M70)</f>
        <v>281.97699999999998</v>
      </c>
      <c r="N66" s="408"/>
      <c r="O66" s="409"/>
    </row>
    <row r="67" spans="1:15">
      <c r="A67" s="347"/>
      <c r="B67" s="347"/>
      <c r="C67" s="348"/>
      <c r="D67" s="421" t="s">
        <v>1697</v>
      </c>
      <c r="E67" s="422"/>
      <c r="F67" s="423"/>
      <c r="G67" s="352"/>
      <c r="H67" s="353"/>
      <c r="I67" s="423">
        <v>22.83</v>
      </c>
      <c r="J67" s="353"/>
      <c r="K67" s="425">
        <v>3.7</v>
      </c>
      <c r="L67" s="353"/>
      <c r="M67" s="353">
        <f>I67*K67</f>
        <v>84.471000000000004</v>
      </c>
      <c r="N67" s="405"/>
      <c r="O67" s="352"/>
    </row>
    <row r="68" spans="1:15">
      <c r="A68" s="347"/>
      <c r="B68" s="347"/>
      <c r="C68" s="348"/>
      <c r="D68" s="421" t="s">
        <v>1698</v>
      </c>
      <c r="E68" s="422"/>
      <c r="F68" s="423"/>
      <c r="G68" s="352"/>
      <c r="H68" s="353"/>
      <c r="I68" s="423">
        <v>22.76</v>
      </c>
      <c r="J68" s="353"/>
      <c r="K68" s="425">
        <v>3.7</v>
      </c>
      <c r="L68" s="353"/>
      <c r="M68" s="353">
        <f>I68*K68</f>
        <v>84.212000000000003</v>
      </c>
      <c r="N68" s="405"/>
      <c r="O68" s="352"/>
    </row>
    <row r="69" spans="1:15">
      <c r="A69" s="347"/>
      <c r="B69" s="347"/>
      <c r="C69" s="348"/>
      <c r="D69" s="421" t="s">
        <v>1699</v>
      </c>
      <c r="E69" s="422"/>
      <c r="F69" s="423"/>
      <c r="G69" s="352"/>
      <c r="H69" s="353"/>
      <c r="I69" s="353">
        <v>30.62</v>
      </c>
      <c r="J69" s="353"/>
      <c r="K69" s="353">
        <v>3.7</v>
      </c>
      <c r="L69" s="353"/>
      <c r="M69" s="353">
        <f>I69*K69</f>
        <v>113.29400000000001</v>
      </c>
      <c r="N69" s="405"/>
      <c r="O69" s="352"/>
    </row>
    <row r="70" spans="1:15">
      <c r="A70" s="347"/>
      <c r="B70" s="347"/>
      <c r="C70" s="348"/>
      <c r="D70" s="349"/>
      <c r="E70" s="361"/>
      <c r="F70" s="351"/>
      <c r="G70" s="352"/>
      <c r="H70" s="353"/>
      <c r="I70" s="353"/>
      <c r="J70" s="353"/>
      <c r="K70" s="353"/>
      <c r="L70" s="353"/>
      <c r="M70" s="353"/>
      <c r="N70" s="405"/>
      <c r="O70" s="352"/>
    </row>
    <row r="71" spans="1:15" ht="31.5">
      <c r="A71" s="339" t="s">
        <v>1702</v>
      </c>
      <c r="B71" s="339" t="s">
        <v>160</v>
      </c>
      <c r="C71" s="340" t="s">
        <v>794</v>
      </c>
      <c r="D71" s="341" t="s">
        <v>795</v>
      </c>
      <c r="E71" s="342" t="s">
        <v>150</v>
      </c>
      <c r="F71" s="343"/>
      <c r="G71" s="344"/>
      <c r="H71" s="345"/>
      <c r="I71" s="345"/>
      <c r="J71" s="345"/>
      <c r="K71" s="345"/>
      <c r="L71" s="345"/>
      <c r="M71" s="346">
        <f>SUM(M72:M75)</f>
        <v>29.48</v>
      </c>
      <c r="N71" s="408"/>
      <c r="O71" s="409"/>
    </row>
    <row r="72" spans="1:15">
      <c r="A72" s="347"/>
      <c r="B72" s="347"/>
      <c r="C72" s="348"/>
      <c r="D72" s="421" t="s">
        <v>1697</v>
      </c>
      <c r="E72" s="422"/>
      <c r="F72" s="423"/>
      <c r="G72" s="352"/>
      <c r="H72" s="353">
        <v>11.07</v>
      </c>
      <c r="I72" s="353"/>
      <c r="J72" s="353"/>
      <c r="K72" s="353"/>
      <c r="L72" s="353"/>
      <c r="M72" s="353">
        <f>H72</f>
        <v>11.07</v>
      </c>
      <c r="N72" s="405"/>
      <c r="O72" s="352"/>
    </row>
    <row r="73" spans="1:15">
      <c r="A73" s="347"/>
      <c r="B73" s="347"/>
      <c r="C73" s="348"/>
      <c r="D73" s="421" t="s">
        <v>1698</v>
      </c>
      <c r="E73" s="422"/>
      <c r="F73" s="423"/>
      <c r="G73" s="352"/>
      <c r="H73" s="353">
        <v>8.77</v>
      </c>
      <c r="I73" s="353"/>
      <c r="J73" s="353"/>
      <c r="K73" s="353"/>
      <c r="L73" s="353"/>
      <c r="M73" s="353">
        <f>H73</f>
        <v>8.77</v>
      </c>
      <c r="N73" s="405"/>
      <c r="O73" s="352"/>
    </row>
    <row r="74" spans="1:15">
      <c r="A74" s="347"/>
      <c r="B74" s="347"/>
      <c r="C74" s="348"/>
      <c r="D74" s="421" t="s">
        <v>1699</v>
      </c>
      <c r="E74" s="422"/>
      <c r="F74" s="423"/>
      <c r="G74" s="352"/>
      <c r="H74" s="353">
        <v>9.64</v>
      </c>
      <c r="I74" s="353"/>
      <c r="J74" s="353"/>
      <c r="K74" s="353"/>
      <c r="L74" s="353"/>
      <c r="M74" s="353">
        <f>H74</f>
        <v>9.64</v>
      </c>
      <c r="N74" s="405"/>
      <c r="O74" s="352"/>
    </row>
    <row r="75" spans="1:15">
      <c r="A75" s="347"/>
      <c r="B75" s="347"/>
      <c r="C75" s="348"/>
      <c r="D75" s="349"/>
      <c r="E75" s="361"/>
      <c r="F75" s="351"/>
      <c r="G75" s="352"/>
      <c r="H75" s="353"/>
      <c r="I75" s="353"/>
      <c r="J75" s="353"/>
      <c r="K75" s="353"/>
      <c r="L75" s="353"/>
      <c r="M75" s="353"/>
      <c r="N75" s="405"/>
      <c r="O75" s="352"/>
    </row>
    <row r="76" spans="1:15">
      <c r="A76" s="339" t="s">
        <v>1703</v>
      </c>
      <c r="B76" s="339" t="s">
        <v>4</v>
      </c>
      <c r="C76" s="340" t="s">
        <v>797</v>
      </c>
      <c r="D76" s="341" t="s">
        <v>798</v>
      </c>
      <c r="E76" s="342" t="s">
        <v>150</v>
      </c>
      <c r="F76" s="343"/>
      <c r="G76" s="344"/>
      <c r="H76" s="345"/>
      <c r="I76" s="345"/>
      <c r="J76" s="345"/>
      <c r="K76" s="345"/>
      <c r="L76" s="345"/>
      <c r="M76" s="346">
        <f>SUM(M77:M80)</f>
        <v>4.1399999999999997</v>
      </c>
      <c r="N76" s="408"/>
      <c r="O76" s="409"/>
    </row>
    <row r="77" spans="1:15">
      <c r="A77" s="347"/>
      <c r="B77" s="347"/>
      <c r="C77" s="348"/>
      <c r="D77" s="421" t="s">
        <v>1697</v>
      </c>
      <c r="E77" s="422"/>
      <c r="F77" s="423"/>
      <c r="G77" s="352"/>
      <c r="H77" s="353"/>
      <c r="I77" s="353">
        <v>1.4</v>
      </c>
      <c r="J77" s="353">
        <v>0.9</v>
      </c>
      <c r="K77" s="353"/>
      <c r="L77" s="353"/>
      <c r="M77" s="353">
        <f>I77*J77</f>
        <v>1.26</v>
      </c>
      <c r="N77" s="405"/>
      <c r="O77" s="352"/>
    </row>
    <row r="78" spans="1:15">
      <c r="A78" s="347"/>
      <c r="B78" s="347"/>
      <c r="C78" s="348"/>
      <c r="D78" s="421" t="s">
        <v>1698</v>
      </c>
      <c r="E78" s="422"/>
      <c r="F78" s="423"/>
      <c r="G78" s="352"/>
      <c r="H78" s="353"/>
      <c r="I78" s="353">
        <v>1.8</v>
      </c>
      <c r="J78" s="353">
        <v>0.9</v>
      </c>
      <c r="K78" s="353"/>
      <c r="L78" s="353"/>
      <c r="M78" s="353">
        <f>I78*J78</f>
        <v>1.62</v>
      </c>
      <c r="N78" s="405"/>
      <c r="O78" s="352"/>
    </row>
    <row r="79" spans="1:15">
      <c r="A79" s="347"/>
      <c r="B79" s="347"/>
      <c r="C79" s="348"/>
      <c r="D79" s="421" t="s">
        <v>1699</v>
      </c>
      <c r="E79" s="422"/>
      <c r="F79" s="423"/>
      <c r="G79" s="352"/>
      <c r="H79" s="353"/>
      <c r="I79" s="353">
        <v>1.4</v>
      </c>
      <c r="J79" s="353">
        <v>0.9</v>
      </c>
      <c r="K79" s="353"/>
      <c r="L79" s="353"/>
      <c r="M79" s="353">
        <f>I79*J79</f>
        <v>1.26</v>
      </c>
      <c r="N79" s="405"/>
      <c r="O79" s="352"/>
    </row>
    <row r="80" spans="1:15">
      <c r="A80" s="347"/>
      <c r="B80" s="347"/>
      <c r="C80" s="348"/>
      <c r="D80" s="349"/>
      <c r="E80" s="361"/>
      <c r="F80" s="351"/>
      <c r="G80" s="352"/>
      <c r="H80" s="353"/>
      <c r="I80" s="353"/>
      <c r="J80" s="353"/>
      <c r="K80" s="353"/>
      <c r="L80" s="353"/>
      <c r="M80" s="353"/>
      <c r="N80" s="405"/>
      <c r="O80" s="352"/>
    </row>
    <row r="81" spans="1:15" ht="31.5">
      <c r="A81" s="339" t="s">
        <v>1704</v>
      </c>
      <c r="B81" s="339" t="s">
        <v>160</v>
      </c>
      <c r="C81" s="340" t="s">
        <v>767</v>
      </c>
      <c r="D81" s="341" t="s">
        <v>768</v>
      </c>
      <c r="E81" s="342" t="s">
        <v>150</v>
      </c>
      <c r="F81" s="343"/>
      <c r="G81" s="344"/>
      <c r="H81" s="345"/>
      <c r="I81" s="345"/>
      <c r="J81" s="345"/>
      <c r="K81" s="345"/>
      <c r="L81" s="345"/>
      <c r="M81" s="346">
        <f>SUM(M82:M84)</f>
        <v>247.81</v>
      </c>
      <c r="N81" s="408"/>
      <c r="O81" s="409"/>
    </row>
    <row r="82" spans="1:15">
      <c r="A82" s="347"/>
      <c r="B82" s="347"/>
      <c r="C82" s="348"/>
      <c r="D82" s="421" t="s">
        <v>1705</v>
      </c>
      <c r="E82" s="422"/>
      <c r="F82" s="423"/>
      <c r="G82" s="352"/>
      <c r="H82" s="353">
        <v>126.32</v>
      </c>
      <c r="I82" s="353"/>
      <c r="J82" s="353"/>
      <c r="K82" s="353"/>
      <c r="L82" s="353"/>
      <c r="M82" s="353">
        <f>H82</f>
        <v>126.32</v>
      </c>
      <c r="N82" s="405"/>
      <c r="O82" s="352"/>
    </row>
    <row r="83" spans="1:15">
      <c r="A83" s="347"/>
      <c r="B83" s="347"/>
      <c r="C83" s="348"/>
      <c r="D83" s="421" t="s">
        <v>1706</v>
      </c>
      <c r="E83" s="422"/>
      <c r="F83" s="423"/>
      <c r="G83" s="352"/>
      <c r="H83" s="353">
        <v>121.49000000000001</v>
      </c>
      <c r="I83" s="353"/>
      <c r="J83" s="353"/>
      <c r="K83" s="353"/>
      <c r="L83" s="353"/>
      <c r="M83" s="353">
        <f>H83</f>
        <v>121.49000000000001</v>
      </c>
      <c r="N83" s="405"/>
      <c r="O83" s="352"/>
    </row>
    <row r="84" spans="1:15">
      <c r="A84" s="347"/>
      <c r="B84" s="347"/>
      <c r="C84" s="348"/>
      <c r="D84" s="349"/>
      <c r="E84" s="361"/>
      <c r="F84" s="351"/>
      <c r="G84" s="352"/>
      <c r="H84" s="353"/>
      <c r="I84" s="353"/>
      <c r="J84" s="353"/>
      <c r="K84" s="353"/>
      <c r="L84" s="353"/>
      <c r="M84" s="353"/>
      <c r="N84" s="405"/>
      <c r="O84" s="352"/>
    </row>
    <row r="85" spans="1:15" ht="47.25">
      <c r="A85" s="339" t="s">
        <v>1707</v>
      </c>
      <c r="B85" s="339" t="s">
        <v>160</v>
      </c>
      <c r="C85" s="340" t="s">
        <v>770</v>
      </c>
      <c r="D85" s="341" t="s">
        <v>1708</v>
      </c>
      <c r="E85" s="342" t="s">
        <v>150</v>
      </c>
      <c r="F85" s="343"/>
      <c r="G85" s="344"/>
      <c r="H85" s="345"/>
      <c r="I85" s="345"/>
      <c r="J85" s="345"/>
      <c r="K85" s="345"/>
      <c r="L85" s="345"/>
      <c r="M85" s="346">
        <f>SUM(M86:M87)</f>
        <v>1437.59</v>
      </c>
      <c r="N85" s="408"/>
      <c r="O85" s="409"/>
    </row>
    <row r="86" spans="1:15">
      <c r="A86" s="347"/>
      <c r="B86" s="347"/>
      <c r="C86" s="348"/>
      <c r="D86" s="421"/>
      <c r="E86" s="422"/>
      <c r="F86" s="423"/>
      <c r="G86" s="352"/>
      <c r="H86" s="353">
        <v>1437.59</v>
      </c>
      <c r="I86" s="353"/>
      <c r="J86" s="353"/>
      <c r="K86" s="353"/>
      <c r="L86" s="353"/>
      <c r="M86" s="353">
        <f>H86</f>
        <v>1437.59</v>
      </c>
      <c r="N86" s="405"/>
      <c r="O86" s="352"/>
    </row>
    <row r="87" spans="1:15">
      <c r="A87" s="347"/>
      <c r="B87" s="347"/>
      <c r="C87" s="348"/>
      <c r="D87" s="349"/>
      <c r="E87" s="361"/>
      <c r="F87" s="351"/>
      <c r="G87" s="352"/>
      <c r="H87" s="353"/>
      <c r="I87" s="353"/>
      <c r="J87" s="353"/>
      <c r="K87" s="353"/>
      <c r="L87" s="353"/>
      <c r="M87" s="353"/>
      <c r="N87" s="405"/>
      <c r="O87" s="352"/>
    </row>
    <row r="88" spans="1:15">
      <c r="A88" s="319"/>
      <c r="B88" s="320"/>
      <c r="C88" s="321"/>
      <c r="D88" s="322"/>
      <c r="E88" s="320"/>
      <c r="F88" s="323"/>
      <c r="G88" s="324"/>
      <c r="H88" s="324"/>
      <c r="I88" s="324"/>
      <c r="J88" s="324"/>
      <c r="K88" s="324"/>
      <c r="L88" s="324"/>
      <c r="M88" s="324"/>
      <c r="N88" s="325"/>
      <c r="O88" s="326"/>
    </row>
    <row r="89" spans="1:15">
      <c r="A89" s="301">
        <v>3</v>
      </c>
      <c r="B89" s="302"/>
      <c r="C89" s="303"/>
      <c r="D89" s="304" t="s">
        <v>94</v>
      </c>
      <c r="E89" s="305"/>
      <c r="F89" s="331"/>
      <c r="G89" s="307"/>
      <c r="H89" s="307"/>
      <c r="I89" s="307"/>
      <c r="J89" s="307"/>
      <c r="K89" s="307"/>
      <c r="L89" s="307"/>
      <c r="M89" s="308"/>
      <c r="N89" s="402"/>
      <c r="O89" s="308"/>
    </row>
    <row r="90" spans="1:15">
      <c r="A90" s="311" t="s">
        <v>84</v>
      </c>
      <c r="B90" s="312"/>
      <c r="C90" s="313"/>
      <c r="D90" s="314" t="s">
        <v>96</v>
      </c>
      <c r="E90" s="327"/>
      <c r="F90" s="332"/>
      <c r="G90" s="329"/>
      <c r="H90" s="329"/>
      <c r="I90" s="329"/>
      <c r="J90" s="329"/>
      <c r="K90" s="329"/>
      <c r="L90" s="329"/>
      <c r="M90" s="330"/>
      <c r="N90" s="407"/>
      <c r="O90" s="330"/>
    </row>
    <row r="91" spans="1:15">
      <c r="A91" s="339" t="s">
        <v>86</v>
      </c>
      <c r="B91" s="339" t="s">
        <v>2</v>
      </c>
      <c r="C91" s="340">
        <v>89402</v>
      </c>
      <c r="D91" s="341" t="s">
        <v>802</v>
      </c>
      <c r="E91" s="342" t="s">
        <v>180</v>
      </c>
      <c r="F91" s="343"/>
      <c r="G91" s="344"/>
      <c r="H91" s="345"/>
      <c r="I91" s="345"/>
      <c r="J91" s="345"/>
      <c r="K91" s="345"/>
      <c r="L91" s="345"/>
      <c r="M91" s="346">
        <f>SUM(M92:M93)</f>
        <v>36</v>
      </c>
      <c r="N91" s="408"/>
      <c r="O91" s="409"/>
    </row>
    <row r="92" spans="1:15">
      <c r="A92" s="347"/>
      <c r="B92" s="347"/>
      <c r="C92" s="348"/>
      <c r="D92" s="421"/>
      <c r="E92" s="422"/>
      <c r="F92" s="423">
        <v>36</v>
      </c>
      <c r="G92" s="352"/>
      <c r="H92" s="353"/>
      <c r="I92" s="353"/>
      <c r="J92" s="353"/>
      <c r="K92" s="353"/>
      <c r="L92" s="353"/>
      <c r="M92" s="353">
        <f>F92</f>
        <v>36</v>
      </c>
      <c r="N92" s="405"/>
      <c r="O92" s="352"/>
    </row>
    <row r="93" spans="1:15">
      <c r="A93" s="347"/>
      <c r="B93" s="347"/>
      <c r="C93" s="348"/>
      <c r="D93" s="349"/>
      <c r="E93" s="361"/>
      <c r="F93" s="351"/>
      <c r="G93" s="352"/>
      <c r="H93" s="353"/>
      <c r="I93" s="353"/>
      <c r="J93" s="353"/>
      <c r="K93" s="353"/>
      <c r="L93" s="353"/>
      <c r="M93" s="353"/>
      <c r="N93" s="405"/>
      <c r="O93" s="352"/>
    </row>
    <row r="94" spans="1:15">
      <c r="A94" s="339" t="s">
        <v>87</v>
      </c>
      <c r="B94" s="339" t="s">
        <v>2</v>
      </c>
      <c r="C94" s="340">
        <v>89987</v>
      </c>
      <c r="D94" s="341" t="s">
        <v>804</v>
      </c>
      <c r="E94" s="342" t="s">
        <v>167</v>
      </c>
      <c r="F94" s="343"/>
      <c r="G94" s="344"/>
      <c r="H94" s="345"/>
      <c r="I94" s="345"/>
      <c r="J94" s="345"/>
      <c r="K94" s="345"/>
      <c r="L94" s="345"/>
      <c r="M94" s="346">
        <f>SUM(M95:M96)</f>
        <v>3</v>
      </c>
      <c r="N94" s="408"/>
      <c r="O94" s="409"/>
    </row>
    <row r="95" spans="1:15">
      <c r="A95" s="347"/>
      <c r="B95" s="347"/>
      <c r="C95" s="348"/>
      <c r="D95" s="421"/>
      <c r="E95" s="422"/>
      <c r="F95" s="423">
        <v>3</v>
      </c>
      <c r="G95" s="352"/>
      <c r="H95" s="353"/>
      <c r="I95" s="353"/>
      <c r="J95" s="353"/>
      <c r="K95" s="353"/>
      <c r="L95" s="353"/>
      <c r="M95" s="353">
        <f>F95</f>
        <v>3</v>
      </c>
      <c r="N95" s="405"/>
      <c r="O95" s="352"/>
    </row>
    <row r="96" spans="1:15">
      <c r="A96" s="347"/>
      <c r="B96" s="347"/>
      <c r="C96" s="348"/>
      <c r="D96" s="349"/>
      <c r="E96" s="361"/>
      <c r="F96" s="351"/>
      <c r="G96" s="352"/>
      <c r="H96" s="353"/>
      <c r="I96" s="353"/>
      <c r="J96" s="353"/>
      <c r="K96" s="353"/>
      <c r="L96" s="353"/>
      <c r="M96" s="353"/>
      <c r="N96" s="405"/>
      <c r="O96" s="352"/>
    </row>
    <row r="97" spans="1:15" ht="31.5">
      <c r="A97" s="339" t="s">
        <v>1319</v>
      </c>
      <c r="B97" s="339" t="s">
        <v>3</v>
      </c>
      <c r="C97" s="340" t="s">
        <v>806</v>
      </c>
      <c r="D97" s="341" t="s">
        <v>807</v>
      </c>
      <c r="E97" s="342" t="s">
        <v>167</v>
      </c>
      <c r="F97" s="343"/>
      <c r="G97" s="344"/>
      <c r="H97" s="345"/>
      <c r="I97" s="345"/>
      <c r="J97" s="345"/>
      <c r="K97" s="345"/>
      <c r="L97" s="345"/>
      <c r="M97" s="346">
        <f>SUM(M98:M99)</f>
        <v>3</v>
      </c>
      <c r="N97" s="408"/>
      <c r="O97" s="409"/>
    </row>
    <row r="98" spans="1:15">
      <c r="A98" s="347"/>
      <c r="B98" s="347"/>
      <c r="C98" s="348"/>
      <c r="D98" s="421"/>
      <c r="E98" s="422"/>
      <c r="F98" s="423">
        <v>3</v>
      </c>
      <c r="G98" s="352"/>
      <c r="H98" s="353"/>
      <c r="I98" s="353"/>
      <c r="J98" s="353"/>
      <c r="K98" s="353"/>
      <c r="L98" s="353"/>
      <c r="M98" s="353">
        <f>F98</f>
        <v>3</v>
      </c>
      <c r="N98" s="405"/>
      <c r="O98" s="352"/>
    </row>
    <row r="99" spans="1:15">
      <c r="A99" s="347"/>
      <c r="B99" s="347"/>
      <c r="C99" s="348"/>
      <c r="D99" s="349"/>
      <c r="E99" s="361"/>
      <c r="F99" s="351"/>
      <c r="G99" s="352"/>
      <c r="H99" s="353"/>
      <c r="I99" s="353"/>
      <c r="J99" s="353"/>
      <c r="K99" s="353"/>
      <c r="L99" s="353"/>
      <c r="M99" s="353"/>
      <c r="N99" s="405"/>
      <c r="O99" s="352"/>
    </row>
    <row r="100" spans="1:15">
      <c r="A100" s="339" t="s">
        <v>1320</v>
      </c>
      <c r="B100" s="339" t="s">
        <v>2</v>
      </c>
      <c r="C100" s="340">
        <v>89366</v>
      </c>
      <c r="D100" s="341" t="s">
        <v>809</v>
      </c>
      <c r="E100" s="342" t="s">
        <v>167</v>
      </c>
      <c r="F100" s="343"/>
      <c r="G100" s="344"/>
      <c r="H100" s="345"/>
      <c r="I100" s="345"/>
      <c r="J100" s="345"/>
      <c r="K100" s="345"/>
      <c r="L100" s="345"/>
      <c r="M100" s="346">
        <f>SUM(M101:M102)</f>
        <v>10</v>
      </c>
      <c r="N100" s="408"/>
      <c r="O100" s="409"/>
    </row>
    <row r="101" spans="1:15">
      <c r="A101" s="347"/>
      <c r="B101" s="347"/>
      <c r="C101" s="348"/>
      <c r="D101" s="421"/>
      <c r="E101" s="422"/>
      <c r="F101" s="423">
        <v>10</v>
      </c>
      <c r="G101" s="352"/>
      <c r="H101" s="353"/>
      <c r="I101" s="353"/>
      <c r="J101" s="353"/>
      <c r="K101" s="353"/>
      <c r="L101" s="353"/>
      <c r="M101" s="353">
        <f>F101</f>
        <v>10</v>
      </c>
      <c r="N101" s="405"/>
      <c r="O101" s="352"/>
    </row>
    <row r="102" spans="1:15">
      <c r="A102" s="347"/>
      <c r="B102" s="347"/>
      <c r="C102" s="348"/>
      <c r="D102" s="349"/>
      <c r="E102" s="361"/>
      <c r="F102" s="351"/>
      <c r="G102" s="352"/>
      <c r="H102" s="353"/>
      <c r="I102" s="353"/>
      <c r="J102" s="353"/>
      <c r="K102" s="353"/>
      <c r="L102" s="353"/>
      <c r="M102" s="353"/>
      <c r="N102" s="405"/>
      <c r="O102" s="352"/>
    </row>
    <row r="103" spans="1:15">
      <c r="A103" s="339" t="s">
        <v>1321</v>
      </c>
      <c r="B103" s="339" t="s">
        <v>2</v>
      </c>
      <c r="C103" s="340">
        <v>89363</v>
      </c>
      <c r="D103" s="341" t="s">
        <v>811</v>
      </c>
      <c r="E103" s="342" t="s">
        <v>167</v>
      </c>
      <c r="F103" s="343"/>
      <c r="G103" s="344"/>
      <c r="H103" s="345"/>
      <c r="I103" s="345"/>
      <c r="J103" s="345"/>
      <c r="K103" s="345"/>
      <c r="L103" s="345"/>
      <c r="M103" s="346">
        <f>SUM(M104:M105)</f>
        <v>2</v>
      </c>
      <c r="N103" s="408"/>
      <c r="O103" s="409"/>
    </row>
    <row r="104" spans="1:15">
      <c r="A104" s="347"/>
      <c r="B104" s="347"/>
      <c r="C104" s="348"/>
      <c r="D104" s="421"/>
      <c r="E104" s="422"/>
      <c r="F104" s="423">
        <v>2</v>
      </c>
      <c r="G104" s="352"/>
      <c r="H104" s="353"/>
      <c r="I104" s="353"/>
      <c r="J104" s="353"/>
      <c r="K104" s="353"/>
      <c r="L104" s="353"/>
      <c r="M104" s="353">
        <f>F104</f>
        <v>2</v>
      </c>
      <c r="N104" s="405"/>
      <c r="O104" s="352"/>
    </row>
    <row r="105" spans="1:15">
      <c r="A105" s="347"/>
      <c r="B105" s="347"/>
      <c r="C105" s="348"/>
      <c r="D105" s="349"/>
      <c r="E105" s="361"/>
      <c r="F105" s="351"/>
      <c r="G105" s="352"/>
      <c r="H105" s="353"/>
      <c r="I105" s="353"/>
      <c r="J105" s="353"/>
      <c r="K105" s="353"/>
      <c r="L105" s="353"/>
      <c r="M105" s="353"/>
      <c r="N105" s="405"/>
      <c r="O105" s="352"/>
    </row>
    <row r="106" spans="1:15">
      <c r="A106" s="339" t="s">
        <v>1322</v>
      </c>
      <c r="B106" s="339" t="s">
        <v>2</v>
      </c>
      <c r="C106" s="340">
        <v>90373</v>
      </c>
      <c r="D106" s="341" t="s">
        <v>813</v>
      </c>
      <c r="E106" s="342" t="s">
        <v>167</v>
      </c>
      <c r="F106" s="343"/>
      <c r="G106" s="344"/>
      <c r="H106" s="345"/>
      <c r="I106" s="345"/>
      <c r="J106" s="345"/>
      <c r="K106" s="345"/>
      <c r="L106" s="345"/>
      <c r="M106" s="346">
        <f>SUM(M107:M108)</f>
        <v>3</v>
      </c>
      <c r="N106" s="408"/>
      <c r="O106" s="409"/>
    </row>
    <row r="107" spans="1:15">
      <c r="A107" s="347"/>
      <c r="B107" s="347"/>
      <c r="C107" s="348"/>
      <c r="D107" s="421"/>
      <c r="E107" s="422"/>
      <c r="F107" s="423">
        <v>3</v>
      </c>
      <c r="G107" s="352"/>
      <c r="H107" s="353"/>
      <c r="I107" s="353"/>
      <c r="J107" s="353"/>
      <c r="K107" s="353"/>
      <c r="L107" s="353"/>
      <c r="M107" s="353">
        <f>F107</f>
        <v>3</v>
      </c>
      <c r="N107" s="405"/>
      <c r="O107" s="352"/>
    </row>
    <row r="108" spans="1:15">
      <c r="A108" s="347"/>
      <c r="B108" s="347"/>
      <c r="C108" s="348"/>
      <c r="D108" s="349"/>
      <c r="E108" s="361"/>
      <c r="F108" s="351"/>
      <c r="G108" s="352"/>
      <c r="H108" s="353"/>
      <c r="I108" s="353"/>
      <c r="J108" s="353"/>
      <c r="K108" s="353"/>
      <c r="L108" s="353"/>
      <c r="M108" s="353"/>
      <c r="N108" s="405"/>
      <c r="O108" s="352"/>
    </row>
    <row r="109" spans="1:15">
      <c r="A109" s="339" t="s">
        <v>1323</v>
      </c>
      <c r="B109" s="339" t="s">
        <v>2</v>
      </c>
      <c r="C109" s="340">
        <v>89383</v>
      </c>
      <c r="D109" s="341" t="s">
        <v>815</v>
      </c>
      <c r="E109" s="342" t="s">
        <v>167</v>
      </c>
      <c r="F109" s="343"/>
      <c r="G109" s="344"/>
      <c r="H109" s="345"/>
      <c r="I109" s="345"/>
      <c r="J109" s="345"/>
      <c r="K109" s="345"/>
      <c r="L109" s="345"/>
      <c r="M109" s="346">
        <f>SUM(M110:M111)</f>
        <v>6</v>
      </c>
      <c r="N109" s="408"/>
      <c r="O109" s="409"/>
    </row>
    <row r="110" spans="1:15">
      <c r="A110" s="347"/>
      <c r="B110" s="347"/>
      <c r="C110" s="348"/>
      <c r="D110" s="421"/>
      <c r="E110" s="422"/>
      <c r="F110" s="423">
        <v>6</v>
      </c>
      <c r="G110" s="352"/>
      <c r="H110" s="353"/>
      <c r="I110" s="353"/>
      <c r="J110" s="353"/>
      <c r="K110" s="353"/>
      <c r="L110" s="353"/>
      <c r="M110" s="353">
        <f>F110</f>
        <v>6</v>
      </c>
      <c r="N110" s="405"/>
      <c r="O110" s="352"/>
    </row>
    <row r="111" spans="1:15">
      <c r="A111" s="347"/>
      <c r="B111" s="347"/>
      <c r="C111" s="348"/>
      <c r="D111" s="349"/>
      <c r="E111" s="361"/>
      <c r="F111" s="351"/>
      <c r="G111" s="352"/>
      <c r="H111" s="353"/>
      <c r="I111" s="353"/>
      <c r="J111" s="353"/>
      <c r="K111" s="353"/>
      <c r="L111" s="353"/>
      <c r="M111" s="353"/>
      <c r="N111" s="405"/>
      <c r="O111" s="352"/>
    </row>
    <row r="112" spans="1:15">
      <c r="A112" s="339" t="s">
        <v>1324</v>
      </c>
      <c r="B112" s="339" t="s">
        <v>2</v>
      </c>
      <c r="C112" s="340">
        <v>89385</v>
      </c>
      <c r="D112" s="341" t="s">
        <v>817</v>
      </c>
      <c r="E112" s="342" t="s">
        <v>167</v>
      </c>
      <c r="F112" s="343"/>
      <c r="G112" s="344"/>
      <c r="H112" s="345"/>
      <c r="I112" s="345"/>
      <c r="J112" s="345"/>
      <c r="K112" s="345"/>
      <c r="L112" s="345"/>
      <c r="M112" s="346">
        <f>SUM(M113:M114)</f>
        <v>6</v>
      </c>
      <c r="N112" s="408"/>
      <c r="O112" s="409"/>
    </row>
    <row r="113" spans="1:15">
      <c r="A113" s="347"/>
      <c r="B113" s="347"/>
      <c r="C113" s="348"/>
      <c r="D113" s="421"/>
      <c r="E113" s="422"/>
      <c r="F113" s="423">
        <v>6</v>
      </c>
      <c r="G113" s="352"/>
      <c r="H113" s="353"/>
      <c r="I113" s="353"/>
      <c r="J113" s="353"/>
      <c r="K113" s="353"/>
      <c r="L113" s="353"/>
      <c r="M113" s="353">
        <f>F113</f>
        <v>6</v>
      </c>
      <c r="N113" s="405"/>
      <c r="O113" s="352"/>
    </row>
    <row r="114" spans="1:15">
      <c r="A114" s="347"/>
      <c r="B114" s="347"/>
      <c r="C114" s="348"/>
      <c r="D114" s="349"/>
      <c r="E114" s="361"/>
      <c r="F114" s="351"/>
      <c r="G114" s="352"/>
      <c r="H114" s="353"/>
      <c r="I114" s="353"/>
      <c r="J114" s="353"/>
      <c r="K114" s="353"/>
      <c r="L114" s="353"/>
      <c r="M114" s="353"/>
      <c r="N114" s="405"/>
      <c r="O114" s="352"/>
    </row>
    <row r="115" spans="1:15">
      <c r="A115" s="339" t="s">
        <v>1325</v>
      </c>
      <c r="B115" s="339" t="s">
        <v>2</v>
      </c>
      <c r="C115" s="340">
        <v>89711</v>
      </c>
      <c r="D115" s="341" t="s">
        <v>819</v>
      </c>
      <c r="E115" s="342" t="s">
        <v>180</v>
      </c>
      <c r="F115" s="343"/>
      <c r="G115" s="344"/>
      <c r="H115" s="345"/>
      <c r="I115" s="345"/>
      <c r="J115" s="345"/>
      <c r="K115" s="345"/>
      <c r="L115" s="345"/>
      <c r="M115" s="346">
        <f>SUM(M116:M117)</f>
        <v>24</v>
      </c>
      <c r="N115" s="408"/>
      <c r="O115" s="409"/>
    </row>
    <row r="116" spans="1:15">
      <c r="A116" s="347"/>
      <c r="B116" s="347"/>
      <c r="C116" s="348"/>
      <c r="D116" s="421"/>
      <c r="E116" s="422"/>
      <c r="F116" s="423">
        <v>24</v>
      </c>
      <c r="G116" s="352"/>
      <c r="H116" s="353"/>
      <c r="I116" s="353"/>
      <c r="J116" s="353"/>
      <c r="K116" s="353"/>
      <c r="L116" s="353"/>
      <c r="M116" s="353">
        <f>F116</f>
        <v>24</v>
      </c>
      <c r="N116" s="405"/>
      <c r="O116" s="352"/>
    </row>
    <row r="117" spans="1:15">
      <c r="A117" s="347"/>
      <c r="B117" s="347"/>
      <c r="C117" s="348"/>
      <c r="D117" s="349"/>
      <c r="E117" s="361"/>
      <c r="F117" s="351"/>
      <c r="G117" s="352"/>
      <c r="H117" s="353"/>
      <c r="I117" s="353"/>
      <c r="J117" s="353"/>
      <c r="K117" s="353"/>
      <c r="L117" s="353"/>
      <c r="M117" s="353"/>
      <c r="N117" s="405"/>
      <c r="O117" s="352"/>
    </row>
    <row r="118" spans="1:15">
      <c r="A118" s="339" t="s">
        <v>1326</v>
      </c>
      <c r="B118" s="339" t="s">
        <v>2</v>
      </c>
      <c r="C118" s="340">
        <v>89726</v>
      </c>
      <c r="D118" s="341" t="s">
        <v>821</v>
      </c>
      <c r="E118" s="342" t="s">
        <v>167</v>
      </c>
      <c r="F118" s="343"/>
      <c r="G118" s="344"/>
      <c r="H118" s="345"/>
      <c r="I118" s="345"/>
      <c r="J118" s="345"/>
      <c r="K118" s="345"/>
      <c r="L118" s="345"/>
      <c r="M118" s="346">
        <f>SUM(M119:M120)</f>
        <v>3</v>
      </c>
      <c r="N118" s="408"/>
      <c r="O118" s="409"/>
    </row>
    <row r="119" spans="1:15">
      <c r="A119" s="347"/>
      <c r="B119" s="347"/>
      <c r="C119" s="348"/>
      <c r="D119" s="421"/>
      <c r="E119" s="422"/>
      <c r="F119" s="423">
        <v>3</v>
      </c>
      <c r="G119" s="352"/>
      <c r="H119" s="353"/>
      <c r="I119" s="353"/>
      <c r="J119" s="353"/>
      <c r="K119" s="353"/>
      <c r="L119" s="353"/>
      <c r="M119" s="353">
        <f>F119</f>
        <v>3</v>
      </c>
      <c r="N119" s="405"/>
      <c r="O119" s="352"/>
    </row>
    <row r="120" spans="1:15">
      <c r="A120" s="347"/>
      <c r="B120" s="347"/>
      <c r="C120" s="348"/>
      <c r="D120" s="349"/>
      <c r="E120" s="361"/>
      <c r="F120" s="351"/>
      <c r="G120" s="352"/>
      <c r="H120" s="353"/>
      <c r="I120" s="353"/>
      <c r="J120" s="353"/>
      <c r="K120" s="353"/>
      <c r="L120" s="353"/>
      <c r="M120" s="353"/>
      <c r="N120" s="405"/>
      <c r="O120" s="352"/>
    </row>
    <row r="121" spans="1:15">
      <c r="A121" s="339" t="s">
        <v>1327</v>
      </c>
      <c r="B121" s="339" t="s">
        <v>2</v>
      </c>
      <c r="C121" s="340">
        <v>89724</v>
      </c>
      <c r="D121" s="341" t="s">
        <v>823</v>
      </c>
      <c r="E121" s="342" t="s">
        <v>167</v>
      </c>
      <c r="F121" s="343"/>
      <c r="G121" s="344"/>
      <c r="H121" s="345"/>
      <c r="I121" s="345"/>
      <c r="J121" s="345"/>
      <c r="K121" s="345"/>
      <c r="L121" s="345"/>
      <c r="M121" s="346">
        <f>SUM(M122:M123)</f>
        <v>3</v>
      </c>
      <c r="N121" s="408"/>
      <c r="O121" s="409"/>
    </row>
    <row r="122" spans="1:15">
      <c r="A122" s="347"/>
      <c r="B122" s="347"/>
      <c r="C122" s="348"/>
      <c r="D122" s="421"/>
      <c r="E122" s="422"/>
      <c r="F122" s="423">
        <v>3</v>
      </c>
      <c r="G122" s="352"/>
      <c r="H122" s="353"/>
      <c r="I122" s="353"/>
      <c r="J122" s="353"/>
      <c r="K122" s="353"/>
      <c r="L122" s="353"/>
      <c r="M122" s="353">
        <f>F122</f>
        <v>3</v>
      </c>
      <c r="N122" s="405"/>
      <c r="O122" s="352"/>
    </row>
    <row r="123" spans="1:15">
      <c r="A123" s="347"/>
      <c r="B123" s="347"/>
      <c r="C123" s="348"/>
      <c r="D123" s="349"/>
      <c r="E123" s="361"/>
      <c r="F123" s="351"/>
      <c r="G123" s="352"/>
      <c r="H123" s="353"/>
      <c r="I123" s="353"/>
      <c r="J123" s="353"/>
      <c r="K123" s="353"/>
      <c r="L123" s="353"/>
      <c r="M123" s="353"/>
      <c r="N123" s="405"/>
      <c r="O123" s="352"/>
    </row>
    <row r="124" spans="1:15">
      <c r="A124" s="339" t="s">
        <v>1328</v>
      </c>
      <c r="B124" s="339" t="s">
        <v>160</v>
      </c>
      <c r="C124" s="340" t="s">
        <v>825</v>
      </c>
      <c r="D124" s="341" t="s">
        <v>826</v>
      </c>
      <c r="E124" s="342" t="s">
        <v>167</v>
      </c>
      <c r="F124" s="343"/>
      <c r="G124" s="344"/>
      <c r="H124" s="345"/>
      <c r="I124" s="345"/>
      <c r="J124" s="345"/>
      <c r="K124" s="345"/>
      <c r="L124" s="345"/>
      <c r="M124" s="346">
        <f>SUM(M125:M126)</f>
        <v>3</v>
      </c>
      <c r="N124" s="408"/>
      <c r="O124" s="409"/>
    </row>
    <row r="125" spans="1:15">
      <c r="A125" s="347"/>
      <c r="B125" s="347"/>
      <c r="C125" s="348"/>
      <c r="D125" s="421"/>
      <c r="E125" s="422"/>
      <c r="F125" s="423">
        <v>3</v>
      </c>
      <c r="G125" s="352"/>
      <c r="H125" s="353"/>
      <c r="I125" s="353"/>
      <c r="J125" s="353"/>
      <c r="K125" s="353"/>
      <c r="L125" s="353"/>
      <c r="M125" s="353">
        <f>F125</f>
        <v>3</v>
      </c>
      <c r="N125" s="405"/>
      <c r="O125" s="352"/>
    </row>
    <row r="126" spans="1:15">
      <c r="A126" s="347"/>
      <c r="B126" s="347"/>
      <c r="C126" s="348"/>
      <c r="D126" s="349"/>
      <c r="E126" s="361"/>
      <c r="F126" s="351"/>
      <c r="G126" s="352"/>
      <c r="H126" s="353"/>
      <c r="I126" s="353"/>
      <c r="J126" s="353"/>
      <c r="K126" s="353"/>
      <c r="L126" s="353"/>
      <c r="M126" s="353"/>
      <c r="N126" s="405"/>
      <c r="O126" s="352"/>
    </row>
    <row r="127" spans="1:15">
      <c r="A127" s="339" t="s">
        <v>1329</v>
      </c>
      <c r="B127" s="339" t="s">
        <v>2</v>
      </c>
      <c r="C127" s="340">
        <v>89825</v>
      </c>
      <c r="D127" s="341" t="s">
        <v>828</v>
      </c>
      <c r="E127" s="342" t="s">
        <v>167</v>
      </c>
      <c r="F127" s="343"/>
      <c r="G127" s="344"/>
      <c r="H127" s="345"/>
      <c r="I127" s="345"/>
      <c r="J127" s="345"/>
      <c r="K127" s="345"/>
      <c r="L127" s="345"/>
      <c r="M127" s="346">
        <f>SUM(M128:M129)</f>
        <v>6</v>
      </c>
      <c r="N127" s="408"/>
      <c r="O127" s="409"/>
    </row>
    <row r="128" spans="1:15">
      <c r="A128" s="347"/>
      <c r="B128" s="347"/>
      <c r="C128" s="348"/>
      <c r="D128" s="421"/>
      <c r="E128" s="422"/>
      <c r="F128" s="423">
        <v>6</v>
      </c>
      <c r="G128" s="352"/>
      <c r="H128" s="353"/>
      <c r="I128" s="353"/>
      <c r="J128" s="353"/>
      <c r="K128" s="353"/>
      <c r="L128" s="353"/>
      <c r="M128" s="353">
        <f>F128</f>
        <v>6</v>
      </c>
      <c r="N128" s="405"/>
      <c r="O128" s="352"/>
    </row>
    <row r="129" spans="1:15">
      <c r="A129" s="347"/>
      <c r="B129" s="347"/>
      <c r="C129" s="348"/>
      <c r="D129" s="349"/>
      <c r="E129" s="361"/>
      <c r="F129" s="351"/>
      <c r="G129" s="352"/>
      <c r="H129" s="353"/>
      <c r="I129" s="353"/>
      <c r="J129" s="353"/>
      <c r="K129" s="353"/>
      <c r="L129" s="353"/>
      <c r="M129" s="353"/>
      <c r="N129" s="405"/>
      <c r="O129" s="352"/>
    </row>
    <row r="130" spans="1:15">
      <c r="A130" s="339" t="s">
        <v>1330</v>
      </c>
      <c r="B130" s="339" t="s">
        <v>3</v>
      </c>
      <c r="C130" s="340" t="s">
        <v>830</v>
      </c>
      <c r="D130" s="341" t="s">
        <v>831</v>
      </c>
      <c r="E130" s="342" t="s">
        <v>167</v>
      </c>
      <c r="F130" s="343"/>
      <c r="G130" s="344"/>
      <c r="H130" s="345"/>
      <c r="I130" s="345"/>
      <c r="J130" s="345"/>
      <c r="K130" s="345"/>
      <c r="L130" s="345"/>
      <c r="M130" s="346">
        <f>SUM(M131:M132)</f>
        <v>3</v>
      </c>
      <c r="N130" s="408"/>
      <c r="O130" s="409"/>
    </row>
    <row r="131" spans="1:15">
      <c r="A131" s="347"/>
      <c r="B131" s="347"/>
      <c r="C131" s="348"/>
      <c r="D131" s="421"/>
      <c r="E131" s="422"/>
      <c r="F131" s="423">
        <v>3</v>
      </c>
      <c r="G131" s="352"/>
      <c r="H131" s="353"/>
      <c r="I131" s="353"/>
      <c r="J131" s="353"/>
      <c r="K131" s="353"/>
      <c r="L131" s="353"/>
      <c r="M131" s="353">
        <f>F131</f>
        <v>3</v>
      </c>
      <c r="N131" s="405"/>
      <c r="O131" s="352"/>
    </row>
    <row r="132" spans="1:15">
      <c r="A132" s="347"/>
      <c r="B132" s="347"/>
      <c r="C132" s="348"/>
      <c r="D132" s="349"/>
      <c r="E132" s="361"/>
      <c r="F132" s="351"/>
      <c r="G132" s="352"/>
      <c r="H132" s="353"/>
      <c r="I132" s="353"/>
      <c r="J132" s="353"/>
      <c r="K132" s="353"/>
      <c r="L132" s="353"/>
      <c r="M132" s="353"/>
      <c r="N132" s="405"/>
      <c r="O132" s="352"/>
    </row>
    <row r="133" spans="1:15">
      <c r="A133" s="319"/>
      <c r="B133" s="320"/>
      <c r="C133" s="321"/>
      <c r="D133" s="322"/>
      <c r="E133" s="320"/>
      <c r="F133" s="323"/>
      <c r="G133" s="324"/>
      <c r="H133" s="324"/>
      <c r="I133" s="324"/>
      <c r="J133" s="324"/>
      <c r="K133" s="324"/>
      <c r="L133" s="324"/>
      <c r="M133" s="324"/>
      <c r="N133" s="325"/>
      <c r="O133" s="326"/>
    </row>
    <row r="134" spans="1:15">
      <c r="A134" s="301">
        <v>4</v>
      </c>
      <c r="B134" s="302"/>
      <c r="C134" s="303"/>
      <c r="D134" s="304" t="s">
        <v>98</v>
      </c>
      <c r="E134" s="305"/>
      <c r="F134" s="306"/>
      <c r="G134" s="307"/>
      <c r="H134" s="307"/>
      <c r="I134" s="307"/>
      <c r="J134" s="307"/>
      <c r="K134" s="307"/>
      <c r="L134" s="307"/>
      <c r="M134" s="308"/>
      <c r="N134" s="402"/>
      <c r="O134" s="308"/>
    </row>
    <row r="135" spans="1:15">
      <c r="A135" s="311" t="s">
        <v>1390</v>
      </c>
      <c r="B135" s="312"/>
      <c r="C135" s="313"/>
      <c r="D135" s="314" t="s">
        <v>68</v>
      </c>
      <c r="E135" s="327"/>
      <c r="F135" s="328"/>
      <c r="G135" s="329"/>
      <c r="H135" s="329"/>
      <c r="I135" s="329"/>
      <c r="J135" s="329"/>
      <c r="K135" s="329"/>
      <c r="L135" s="329"/>
      <c r="M135" s="330"/>
      <c r="N135" s="407"/>
      <c r="O135" s="330"/>
    </row>
    <row r="136" spans="1:15" ht="31.5">
      <c r="A136" s="339" t="s">
        <v>1391</v>
      </c>
      <c r="B136" s="339" t="s">
        <v>3</v>
      </c>
      <c r="C136" s="340" t="s">
        <v>833</v>
      </c>
      <c r="D136" s="341" t="s">
        <v>834</v>
      </c>
      <c r="E136" s="342" t="s">
        <v>180</v>
      </c>
      <c r="F136" s="343"/>
      <c r="G136" s="344"/>
      <c r="H136" s="345"/>
      <c r="I136" s="345"/>
      <c r="J136" s="345"/>
      <c r="K136" s="345"/>
      <c r="L136" s="345"/>
      <c r="M136" s="346">
        <f>SUM(M137:M139)</f>
        <v>8223.65</v>
      </c>
      <c r="N136" s="408"/>
      <c r="O136" s="409"/>
    </row>
    <row r="137" spans="1:15">
      <c r="A137" s="347"/>
      <c r="B137" s="347"/>
      <c r="C137" s="348"/>
      <c r="D137" s="421" t="s">
        <v>1709</v>
      </c>
      <c r="E137" s="422"/>
      <c r="F137" s="423">
        <f>6521*1.15</f>
        <v>7499.15</v>
      </c>
      <c r="G137" s="352"/>
      <c r="H137" s="353"/>
      <c r="I137" s="353"/>
      <c r="J137" s="353"/>
      <c r="K137" s="353"/>
      <c r="L137" s="353"/>
      <c r="M137" s="353">
        <f>F137</f>
        <v>7499.15</v>
      </c>
      <c r="N137" s="405"/>
      <c r="O137" s="352"/>
    </row>
    <row r="138" spans="1:15">
      <c r="A138" s="366"/>
      <c r="B138" s="366"/>
      <c r="C138" s="367"/>
      <c r="D138" s="421" t="s">
        <v>1710</v>
      </c>
      <c r="E138" s="361"/>
      <c r="F138" s="363">
        <f>630*1.15</f>
        <v>724.5</v>
      </c>
      <c r="G138" s="352"/>
      <c r="H138" s="353"/>
      <c r="I138" s="353"/>
      <c r="J138" s="353"/>
      <c r="K138" s="353"/>
      <c r="L138" s="353"/>
      <c r="M138" s="353">
        <f>F138</f>
        <v>724.5</v>
      </c>
      <c r="N138" s="405"/>
      <c r="O138" s="352"/>
    </row>
    <row r="139" spans="1:15">
      <c r="A139" s="368"/>
      <c r="B139" s="368"/>
      <c r="C139" s="369"/>
      <c r="D139" s="356"/>
      <c r="E139" s="362"/>
      <c r="F139" s="364"/>
      <c r="G139" s="359"/>
      <c r="H139" s="360"/>
      <c r="I139" s="360"/>
      <c r="J139" s="360"/>
      <c r="K139" s="360"/>
      <c r="L139" s="360"/>
      <c r="M139" s="360"/>
      <c r="N139" s="406"/>
      <c r="O139" s="359"/>
    </row>
    <row r="140" spans="1:15" customFormat="1" ht="31.5">
      <c r="A140" s="339" t="s">
        <v>1504</v>
      </c>
      <c r="B140" s="339" t="s">
        <v>3</v>
      </c>
      <c r="C140" s="340" t="s">
        <v>836</v>
      </c>
      <c r="D140" s="466" t="s">
        <v>837</v>
      </c>
      <c r="E140" s="422" t="s">
        <v>180</v>
      </c>
      <c r="F140" s="467"/>
      <c r="G140" s="344"/>
      <c r="H140" s="345"/>
      <c r="I140" s="345"/>
      <c r="J140" s="345"/>
      <c r="K140" s="345"/>
      <c r="L140" s="345"/>
      <c r="M140" s="346">
        <f>SUM(M141:M143)</f>
        <v>11010.099999999999</v>
      </c>
      <c r="N140" s="408"/>
      <c r="O140" s="409"/>
    </row>
    <row r="141" spans="1:15" customFormat="1">
      <c r="A141" s="347"/>
      <c r="B141" s="347"/>
      <c r="C141" s="348"/>
      <c r="D141" s="421" t="s">
        <v>1709</v>
      </c>
      <c r="E141" s="422"/>
      <c r="F141" s="423">
        <f>1223*1.15</f>
        <v>1406.4499999999998</v>
      </c>
      <c r="G141" s="352"/>
      <c r="H141" s="353"/>
      <c r="I141" s="353"/>
      <c r="J141" s="353"/>
      <c r="K141" s="353"/>
      <c r="L141" s="353"/>
      <c r="M141" s="353">
        <f>F141</f>
        <v>1406.4499999999998</v>
      </c>
      <c r="N141" s="405"/>
      <c r="O141" s="352"/>
    </row>
    <row r="142" spans="1:15">
      <c r="A142" s="366"/>
      <c r="B142" s="366"/>
      <c r="C142" s="367"/>
      <c r="D142" s="421" t="s">
        <v>1711</v>
      </c>
      <c r="E142" s="361"/>
      <c r="F142" s="363">
        <f>8351*1.15</f>
        <v>9603.65</v>
      </c>
      <c r="G142" s="352"/>
      <c r="H142" s="353"/>
      <c r="I142" s="353"/>
      <c r="J142" s="353"/>
      <c r="K142" s="353"/>
      <c r="L142" s="353"/>
      <c r="M142" s="353">
        <f>F142</f>
        <v>9603.65</v>
      </c>
      <c r="N142" s="405"/>
      <c r="O142" s="352"/>
    </row>
    <row r="143" spans="1:15">
      <c r="A143" s="368"/>
      <c r="B143" s="368"/>
      <c r="C143" s="369"/>
      <c r="D143" s="356"/>
      <c r="E143" s="362"/>
      <c r="F143" s="364"/>
      <c r="G143" s="359"/>
      <c r="H143" s="360"/>
      <c r="I143" s="360"/>
      <c r="J143" s="360"/>
      <c r="K143" s="360"/>
      <c r="L143" s="360"/>
      <c r="M143" s="360"/>
      <c r="N143" s="406"/>
      <c r="O143" s="359"/>
    </row>
    <row r="144" spans="1:15" customFormat="1" ht="31.5">
      <c r="A144" s="339" t="s">
        <v>1712</v>
      </c>
      <c r="B144" s="339" t="s">
        <v>3</v>
      </c>
      <c r="C144" s="340" t="s">
        <v>839</v>
      </c>
      <c r="D144" s="436" t="s">
        <v>840</v>
      </c>
      <c r="E144" s="437" t="s">
        <v>180</v>
      </c>
      <c r="F144" s="438"/>
      <c r="G144" s="344"/>
      <c r="H144" s="345"/>
      <c r="I144" s="345"/>
      <c r="J144" s="345"/>
      <c r="K144" s="345"/>
      <c r="L144" s="345"/>
      <c r="M144" s="346">
        <f>SUM(M145:M146)</f>
        <v>81</v>
      </c>
      <c r="N144" s="408"/>
      <c r="O144" s="409"/>
    </row>
    <row r="145" spans="1:15" customFormat="1">
      <c r="A145" s="347"/>
      <c r="B145" s="347"/>
      <c r="C145" s="348"/>
      <c r="D145" s="421" t="s">
        <v>1405</v>
      </c>
      <c r="E145" s="422"/>
      <c r="F145" s="423">
        <v>81</v>
      </c>
      <c r="G145" s="352"/>
      <c r="H145" s="353"/>
      <c r="I145" s="353"/>
      <c r="J145" s="353"/>
      <c r="K145" s="353"/>
      <c r="L145" s="353"/>
      <c r="M145" s="353">
        <f>F145</f>
        <v>81</v>
      </c>
      <c r="N145" s="405"/>
      <c r="O145" s="352"/>
    </row>
    <row r="146" spans="1:15" customFormat="1">
      <c r="A146" s="354"/>
      <c r="B146" s="354"/>
      <c r="C146" s="355"/>
      <c r="D146" s="439"/>
      <c r="E146" s="440"/>
      <c r="F146" s="441"/>
      <c r="G146" s="359"/>
      <c r="H146" s="360"/>
      <c r="I146" s="360"/>
      <c r="J146" s="360"/>
      <c r="K146" s="360"/>
      <c r="L146" s="360"/>
      <c r="M146" s="360"/>
      <c r="N146" s="406"/>
      <c r="O146" s="359"/>
    </row>
    <row r="147" spans="1:15" customFormat="1" ht="31.5">
      <c r="A147" s="339" t="s">
        <v>1713</v>
      </c>
      <c r="B147" s="339" t="s">
        <v>3</v>
      </c>
      <c r="C147" s="340" t="s">
        <v>330</v>
      </c>
      <c r="D147" s="436" t="s">
        <v>842</v>
      </c>
      <c r="E147" s="437" t="s">
        <v>180</v>
      </c>
      <c r="F147" s="438"/>
      <c r="G147" s="344"/>
      <c r="H147" s="345"/>
      <c r="I147" s="345"/>
      <c r="J147" s="345"/>
      <c r="K147" s="345"/>
      <c r="L147" s="345"/>
      <c r="M147" s="346">
        <f>SUM(M148:M149)</f>
        <v>4963</v>
      </c>
      <c r="N147" s="408"/>
      <c r="O147" s="409"/>
    </row>
    <row r="148" spans="1:15" customFormat="1">
      <c r="A148" s="347"/>
      <c r="B148" s="347"/>
      <c r="C148" s="348"/>
      <c r="D148" s="421" t="s">
        <v>1405</v>
      </c>
      <c r="E148" s="422"/>
      <c r="F148" s="423">
        <v>4963</v>
      </c>
      <c r="G148" s="352"/>
      <c r="H148" s="353"/>
      <c r="I148" s="353"/>
      <c r="J148" s="353"/>
      <c r="K148" s="353"/>
      <c r="L148" s="353"/>
      <c r="M148" s="353">
        <f>F148</f>
        <v>4963</v>
      </c>
      <c r="N148" s="405"/>
      <c r="O148" s="352"/>
    </row>
    <row r="149" spans="1:15" customFormat="1">
      <c r="A149" s="354"/>
      <c r="B149" s="354"/>
      <c r="C149" s="355"/>
      <c r="D149" s="439"/>
      <c r="E149" s="440"/>
      <c r="F149" s="441"/>
      <c r="G149" s="359"/>
      <c r="H149" s="360"/>
      <c r="I149" s="360"/>
      <c r="J149" s="360"/>
      <c r="K149" s="360"/>
      <c r="L149" s="360"/>
      <c r="M149" s="360"/>
      <c r="N149" s="406"/>
      <c r="O149" s="359"/>
    </row>
    <row r="150" spans="1:15" customFormat="1" ht="31.5">
      <c r="A150" s="339" t="s">
        <v>1714</v>
      </c>
      <c r="B150" s="339" t="s">
        <v>3</v>
      </c>
      <c r="C150" s="340" t="s">
        <v>333</v>
      </c>
      <c r="D150" s="436" t="s">
        <v>844</v>
      </c>
      <c r="E150" s="437" t="s">
        <v>180</v>
      </c>
      <c r="F150" s="438"/>
      <c r="G150" s="344"/>
      <c r="H150" s="345"/>
      <c r="I150" s="345"/>
      <c r="J150" s="345"/>
      <c r="K150" s="345"/>
      <c r="L150" s="345"/>
      <c r="M150" s="346">
        <f>SUM(M151:M152)</f>
        <v>400</v>
      </c>
      <c r="N150" s="408"/>
      <c r="O150" s="409"/>
    </row>
    <row r="151" spans="1:15" customFormat="1">
      <c r="A151" s="347"/>
      <c r="B151" s="347"/>
      <c r="C151" s="348"/>
      <c r="D151" s="421" t="s">
        <v>1405</v>
      </c>
      <c r="E151" s="422"/>
      <c r="F151" s="423">
        <v>400</v>
      </c>
      <c r="G151" s="352"/>
      <c r="H151" s="353"/>
      <c r="I151" s="353"/>
      <c r="J151" s="353"/>
      <c r="K151" s="353"/>
      <c r="L151" s="353"/>
      <c r="M151" s="353">
        <f>F151</f>
        <v>400</v>
      </c>
      <c r="N151" s="405"/>
      <c r="O151" s="352"/>
    </row>
    <row r="152" spans="1:15" customFormat="1">
      <c r="A152" s="354"/>
      <c r="B152" s="354"/>
      <c r="C152" s="355"/>
      <c r="D152" s="439"/>
      <c r="E152" s="440"/>
      <c r="F152" s="441"/>
      <c r="G152" s="359"/>
      <c r="H152" s="360"/>
      <c r="I152" s="360"/>
      <c r="J152" s="360"/>
      <c r="K152" s="360"/>
      <c r="L152" s="360"/>
      <c r="M152" s="360"/>
      <c r="N152" s="406"/>
      <c r="O152" s="359"/>
    </row>
    <row r="153" spans="1:15" customFormat="1" ht="31.5">
      <c r="A153" s="339" t="s">
        <v>1715</v>
      </c>
      <c r="B153" s="339" t="s">
        <v>3</v>
      </c>
      <c r="C153" s="340" t="s">
        <v>207</v>
      </c>
      <c r="D153" s="436" t="s">
        <v>846</v>
      </c>
      <c r="E153" s="437" t="s">
        <v>180</v>
      </c>
      <c r="F153" s="438"/>
      <c r="G153" s="344"/>
      <c r="H153" s="345"/>
      <c r="I153" s="345"/>
      <c r="J153" s="345"/>
      <c r="K153" s="345"/>
      <c r="L153" s="345"/>
      <c r="M153" s="346">
        <f>SUM(M154:M155)</f>
        <v>231</v>
      </c>
      <c r="N153" s="408"/>
      <c r="O153" s="409"/>
    </row>
    <row r="154" spans="1:15" customFormat="1">
      <c r="A154" s="347"/>
      <c r="B154" s="347"/>
      <c r="C154" s="348"/>
      <c r="D154" s="421" t="s">
        <v>1405</v>
      </c>
      <c r="E154" s="422"/>
      <c r="F154" s="423">
        <v>231</v>
      </c>
      <c r="G154" s="352"/>
      <c r="H154" s="353"/>
      <c r="I154" s="353"/>
      <c r="J154" s="353"/>
      <c r="K154" s="353"/>
      <c r="L154" s="353"/>
      <c r="M154" s="353">
        <f>F154</f>
        <v>231</v>
      </c>
      <c r="N154" s="405"/>
      <c r="O154" s="352"/>
    </row>
    <row r="155" spans="1:15" customFormat="1">
      <c r="A155" s="354"/>
      <c r="B155" s="354"/>
      <c r="C155" s="355"/>
      <c r="D155" s="421"/>
      <c r="E155" s="440"/>
      <c r="F155" s="441"/>
      <c r="G155" s="359"/>
      <c r="H155" s="360"/>
      <c r="I155" s="360"/>
      <c r="J155" s="360"/>
      <c r="K155" s="360"/>
      <c r="L155" s="360"/>
      <c r="M155" s="360"/>
      <c r="N155" s="406"/>
      <c r="O155" s="359"/>
    </row>
    <row r="156" spans="1:15" customFormat="1" ht="31.5">
      <c r="A156" s="339" t="s">
        <v>1716</v>
      </c>
      <c r="B156" s="339" t="s">
        <v>3</v>
      </c>
      <c r="C156" s="340" t="s">
        <v>220</v>
      </c>
      <c r="D156" s="436" t="s">
        <v>848</v>
      </c>
      <c r="E156" s="437" t="s">
        <v>180</v>
      </c>
      <c r="F156" s="438"/>
      <c r="G156" s="344"/>
      <c r="H156" s="345"/>
      <c r="I156" s="345"/>
      <c r="J156" s="345"/>
      <c r="K156" s="345"/>
      <c r="L156" s="345"/>
      <c r="M156" s="346">
        <f>SUM(M157:M158)</f>
        <v>254</v>
      </c>
      <c r="N156" s="408"/>
      <c r="O156" s="409"/>
    </row>
    <row r="157" spans="1:15" customFormat="1">
      <c r="A157" s="347"/>
      <c r="B157" s="347"/>
      <c r="C157" s="348"/>
      <c r="D157" s="421" t="s">
        <v>1405</v>
      </c>
      <c r="E157" s="422"/>
      <c r="F157" s="423">
        <v>254</v>
      </c>
      <c r="G157" s="352"/>
      <c r="H157" s="353"/>
      <c r="I157" s="353"/>
      <c r="J157" s="353"/>
      <c r="K157" s="353"/>
      <c r="L157" s="353"/>
      <c r="M157" s="353">
        <f>F157</f>
        <v>254</v>
      </c>
      <c r="N157" s="405"/>
      <c r="O157" s="352"/>
    </row>
    <row r="158" spans="1:15" customFormat="1">
      <c r="A158" s="354"/>
      <c r="B158" s="354"/>
      <c r="C158" s="355"/>
      <c r="D158" s="421"/>
      <c r="E158" s="440"/>
      <c r="F158" s="441"/>
      <c r="G158" s="359"/>
      <c r="H158" s="360"/>
      <c r="I158" s="360"/>
      <c r="J158" s="360"/>
      <c r="K158" s="360"/>
      <c r="L158" s="360"/>
      <c r="M158" s="360"/>
      <c r="N158" s="406"/>
      <c r="O158" s="359"/>
    </row>
    <row r="159" spans="1:15" customFormat="1" ht="31.5">
      <c r="A159" s="339" t="s">
        <v>1717</v>
      </c>
      <c r="B159" s="339" t="s">
        <v>3</v>
      </c>
      <c r="C159" s="340" t="s">
        <v>850</v>
      </c>
      <c r="D159" s="436" t="s">
        <v>851</v>
      </c>
      <c r="E159" s="437" t="s">
        <v>180</v>
      </c>
      <c r="F159" s="438"/>
      <c r="G159" s="344"/>
      <c r="H159" s="345"/>
      <c r="I159" s="345"/>
      <c r="J159" s="345"/>
      <c r="K159" s="345"/>
      <c r="L159" s="345"/>
      <c r="M159" s="346">
        <f>SUM(M160:M161)</f>
        <v>25</v>
      </c>
      <c r="N159" s="408"/>
      <c r="O159" s="409"/>
    </row>
    <row r="160" spans="1:15" customFormat="1">
      <c r="A160" s="347"/>
      <c r="B160" s="347"/>
      <c r="C160" s="348"/>
      <c r="D160" s="421" t="s">
        <v>1405</v>
      </c>
      <c r="E160" s="422"/>
      <c r="F160" s="423">
        <v>25</v>
      </c>
      <c r="G160" s="352"/>
      <c r="H160" s="353"/>
      <c r="I160" s="353"/>
      <c r="J160" s="353"/>
      <c r="K160" s="353"/>
      <c r="L160" s="353"/>
      <c r="M160" s="353">
        <f>F160</f>
        <v>25</v>
      </c>
      <c r="N160" s="405"/>
      <c r="O160" s="352"/>
    </row>
    <row r="161" spans="1:15" customFormat="1">
      <c r="A161" s="354"/>
      <c r="B161" s="354"/>
      <c r="C161" s="355"/>
      <c r="D161" s="421"/>
      <c r="E161" s="440"/>
      <c r="F161" s="441"/>
      <c r="G161" s="359"/>
      <c r="H161" s="360"/>
      <c r="I161" s="360"/>
      <c r="J161" s="360"/>
      <c r="K161" s="360"/>
      <c r="L161" s="360"/>
      <c r="M161" s="360"/>
      <c r="N161" s="406"/>
      <c r="O161" s="359"/>
    </row>
    <row r="162" spans="1:15" customFormat="1" ht="31.5">
      <c r="A162" s="339" t="s">
        <v>1718</v>
      </c>
      <c r="B162" s="339" t="s">
        <v>3</v>
      </c>
      <c r="C162" s="340" t="s">
        <v>342</v>
      </c>
      <c r="D162" s="436" t="s">
        <v>853</v>
      </c>
      <c r="E162" s="437" t="s">
        <v>180</v>
      </c>
      <c r="F162" s="438"/>
      <c r="G162" s="344"/>
      <c r="H162" s="345"/>
      <c r="I162" s="345"/>
      <c r="J162" s="345"/>
      <c r="K162" s="345"/>
      <c r="L162" s="345"/>
      <c r="M162" s="346">
        <f>SUM(M163:M164)</f>
        <v>98</v>
      </c>
      <c r="N162" s="408"/>
      <c r="O162" s="409"/>
    </row>
    <row r="163" spans="1:15" customFormat="1">
      <c r="A163" s="347"/>
      <c r="B163" s="347"/>
      <c r="C163" s="348"/>
      <c r="D163" s="421" t="s">
        <v>1405</v>
      </c>
      <c r="E163" s="422"/>
      <c r="F163" s="423">
        <v>98</v>
      </c>
      <c r="G163" s="352"/>
      <c r="H163" s="353"/>
      <c r="I163" s="353"/>
      <c r="J163" s="353"/>
      <c r="K163" s="353"/>
      <c r="L163" s="353"/>
      <c r="M163" s="353">
        <f>F163</f>
        <v>98</v>
      </c>
      <c r="N163" s="405"/>
      <c r="O163" s="352"/>
    </row>
    <row r="164" spans="1:15" customFormat="1">
      <c r="A164" s="354"/>
      <c r="B164" s="354"/>
      <c r="C164" s="355"/>
      <c r="D164" s="421"/>
      <c r="E164" s="440"/>
      <c r="F164" s="441"/>
      <c r="G164" s="359"/>
      <c r="H164" s="360"/>
      <c r="I164" s="360"/>
      <c r="J164" s="360"/>
      <c r="K164" s="360"/>
      <c r="L164" s="360"/>
      <c r="M164" s="360"/>
      <c r="N164" s="406"/>
      <c r="O164" s="359"/>
    </row>
    <row r="165" spans="1:15" customFormat="1" ht="31.5">
      <c r="A165" s="339" t="s">
        <v>1719</v>
      </c>
      <c r="B165" s="339" t="s">
        <v>3</v>
      </c>
      <c r="C165" s="340" t="s">
        <v>855</v>
      </c>
      <c r="D165" s="436" t="s">
        <v>856</v>
      </c>
      <c r="E165" s="437" t="s">
        <v>180</v>
      </c>
      <c r="F165" s="438"/>
      <c r="G165" s="344"/>
      <c r="H165" s="345"/>
      <c r="I165" s="345"/>
      <c r="J165" s="345"/>
      <c r="K165" s="345"/>
      <c r="L165" s="345"/>
      <c r="M165" s="346">
        <f>SUM(M166:M167)</f>
        <v>35</v>
      </c>
      <c r="N165" s="408"/>
      <c r="O165" s="409"/>
    </row>
    <row r="166" spans="1:15" customFormat="1">
      <c r="A166" s="347"/>
      <c r="B166" s="347"/>
      <c r="C166" s="348"/>
      <c r="D166" s="421" t="s">
        <v>1405</v>
      </c>
      <c r="E166" s="422"/>
      <c r="F166" s="423">
        <v>35</v>
      </c>
      <c r="G166" s="352"/>
      <c r="H166" s="353"/>
      <c r="I166" s="353"/>
      <c r="J166" s="353"/>
      <c r="K166" s="353"/>
      <c r="L166" s="353"/>
      <c r="M166" s="353">
        <f>F166</f>
        <v>35</v>
      </c>
      <c r="N166" s="405"/>
      <c r="O166" s="352"/>
    </row>
    <row r="167" spans="1:15" customFormat="1">
      <c r="A167" s="354"/>
      <c r="B167" s="354"/>
      <c r="C167" s="355"/>
      <c r="D167" s="421"/>
      <c r="E167" s="440"/>
      <c r="F167" s="441"/>
      <c r="G167" s="359"/>
      <c r="H167" s="360"/>
      <c r="I167" s="360"/>
      <c r="J167" s="360"/>
      <c r="K167" s="360"/>
      <c r="L167" s="360"/>
      <c r="M167" s="360"/>
      <c r="N167" s="406"/>
      <c r="O167" s="359"/>
    </row>
    <row r="168" spans="1:15" customFormat="1" ht="31.5">
      <c r="A168" s="339" t="s">
        <v>1720</v>
      </c>
      <c r="B168" s="339" t="s">
        <v>3</v>
      </c>
      <c r="C168" s="340" t="s">
        <v>858</v>
      </c>
      <c r="D168" s="436" t="s">
        <v>859</v>
      </c>
      <c r="E168" s="437" t="s">
        <v>180</v>
      </c>
      <c r="F168" s="438"/>
      <c r="G168" s="344"/>
      <c r="H168" s="345"/>
      <c r="I168" s="345"/>
      <c r="J168" s="345"/>
      <c r="K168" s="345"/>
      <c r="L168" s="345"/>
      <c r="M168" s="346">
        <f>SUM(M169:M170)</f>
        <v>138</v>
      </c>
      <c r="N168" s="408"/>
      <c r="O168" s="409"/>
    </row>
    <row r="169" spans="1:15" customFormat="1">
      <c r="A169" s="347"/>
      <c r="B169" s="347"/>
      <c r="C169" s="348"/>
      <c r="D169" s="421" t="s">
        <v>1405</v>
      </c>
      <c r="E169" s="422"/>
      <c r="F169" s="423">
        <v>138</v>
      </c>
      <c r="G169" s="352"/>
      <c r="H169" s="353"/>
      <c r="I169" s="353"/>
      <c r="J169" s="353"/>
      <c r="K169" s="353"/>
      <c r="L169" s="353"/>
      <c r="M169" s="353">
        <f>F169</f>
        <v>138</v>
      </c>
      <c r="N169" s="405"/>
      <c r="O169" s="352"/>
    </row>
    <row r="170" spans="1:15" customFormat="1">
      <c r="A170" s="354"/>
      <c r="B170" s="354"/>
      <c r="C170" s="355"/>
      <c r="D170" s="421"/>
      <c r="E170" s="440"/>
      <c r="F170" s="441"/>
      <c r="G170" s="359"/>
      <c r="H170" s="360"/>
      <c r="I170" s="360"/>
      <c r="J170" s="360"/>
      <c r="K170" s="360"/>
      <c r="L170" s="360"/>
      <c r="M170" s="360"/>
      <c r="N170" s="406"/>
      <c r="O170" s="359"/>
    </row>
    <row r="171" spans="1:15" customFormat="1">
      <c r="A171" s="339" t="s">
        <v>1721</v>
      </c>
      <c r="B171" s="339" t="s">
        <v>160</v>
      </c>
      <c r="C171" s="340" t="s">
        <v>861</v>
      </c>
      <c r="D171" s="436" t="s">
        <v>862</v>
      </c>
      <c r="E171" s="437" t="s">
        <v>167</v>
      </c>
      <c r="F171" s="438"/>
      <c r="G171" s="344"/>
      <c r="H171" s="345"/>
      <c r="I171" s="345"/>
      <c r="J171" s="345"/>
      <c r="K171" s="345"/>
      <c r="L171" s="345"/>
      <c r="M171" s="346">
        <f>SUM(M172:M173)</f>
        <v>446</v>
      </c>
      <c r="N171" s="408"/>
      <c r="O171" s="409"/>
    </row>
    <row r="172" spans="1:15" customFormat="1">
      <c r="A172" s="347"/>
      <c r="B172" s="347"/>
      <c r="C172" s="348"/>
      <c r="D172" s="421" t="s">
        <v>1709</v>
      </c>
      <c r="E172" s="422"/>
      <c r="F172" s="423">
        <v>446</v>
      </c>
      <c r="G172" s="352"/>
      <c r="H172" s="353"/>
      <c r="I172" s="353"/>
      <c r="J172" s="353"/>
      <c r="K172" s="353"/>
      <c r="L172" s="353"/>
      <c r="M172" s="353">
        <f>F172</f>
        <v>446</v>
      </c>
      <c r="N172" s="405"/>
      <c r="O172" s="352"/>
    </row>
    <row r="173" spans="1:15" customFormat="1">
      <c r="A173" s="354"/>
      <c r="B173" s="354"/>
      <c r="C173" s="355"/>
      <c r="D173" s="439"/>
      <c r="E173" s="440"/>
      <c r="F173" s="441"/>
      <c r="G173" s="359"/>
      <c r="H173" s="360"/>
      <c r="I173" s="360"/>
      <c r="J173" s="360"/>
      <c r="K173" s="360"/>
      <c r="L173" s="360"/>
      <c r="M173" s="360"/>
      <c r="N173" s="406"/>
      <c r="O173" s="359"/>
    </row>
    <row r="174" spans="1:15" customFormat="1">
      <c r="A174" s="339" t="s">
        <v>1722</v>
      </c>
      <c r="B174" s="339" t="s">
        <v>3</v>
      </c>
      <c r="C174" s="340" t="s">
        <v>348</v>
      </c>
      <c r="D174" s="436" t="s">
        <v>349</v>
      </c>
      <c r="E174" s="437" t="s">
        <v>163</v>
      </c>
      <c r="F174" s="438"/>
      <c r="G174" s="344"/>
      <c r="H174" s="345"/>
      <c r="I174" s="345"/>
      <c r="J174" s="345"/>
      <c r="K174" s="345"/>
      <c r="L174" s="345"/>
      <c r="M174" s="346">
        <f>SUM(M175:M176)</f>
        <v>1</v>
      </c>
      <c r="N174" s="408"/>
      <c r="O174" s="409"/>
    </row>
    <row r="175" spans="1:15" customFormat="1">
      <c r="A175" s="347"/>
      <c r="B175" s="347"/>
      <c r="C175" s="348"/>
      <c r="D175" s="421" t="s">
        <v>1723</v>
      </c>
      <c r="E175" s="422"/>
      <c r="F175" s="423">
        <v>1</v>
      </c>
      <c r="G175" s="352"/>
      <c r="H175" s="353"/>
      <c r="I175" s="353"/>
      <c r="J175" s="353"/>
      <c r="K175" s="353"/>
      <c r="L175" s="353"/>
      <c r="M175" s="353">
        <f>F175</f>
        <v>1</v>
      </c>
      <c r="N175" s="405"/>
      <c r="O175" s="352"/>
    </row>
    <row r="176" spans="1:15" customFormat="1">
      <c r="A176" s="354"/>
      <c r="B176" s="354"/>
      <c r="C176" s="355"/>
      <c r="D176" s="439"/>
      <c r="E176" s="440"/>
      <c r="F176" s="441"/>
      <c r="G176" s="359"/>
      <c r="H176" s="360"/>
      <c r="I176" s="360"/>
      <c r="J176" s="360"/>
      <c r="K176" s="360"/>
      <c r="L176" s="360"/>
      <c r="M176" s="360"/>
      <c r="N176" s="406"/>
      <c r="O176" s="359"/>
    </row>
    <row r="177" spans="1:15" customFormat="1" ht="31.5">
      <c r="A177" s="339" t="s">
        <v>1724</v>
      </c>
      <c r="B177" s="339" t="s">
        <v>2</v>
      </c>
      <c r="C177" s="340">
        <v>91980</v>
      </c>
      <c r="D177" s="436" t="s">
        <v>865</v>
      </c>
      <c r="E177" s="437" t="s">
        <v>167</v>
      </c>
      <c r="F177" s="438"/>
      <c r="G177" s="344"/>
      <c r="H177" s="345"/>
      <c r="I177" s="345"/>
      <c r="J177" s="345"/>
      <c r="K177" s="345"/>
      <c r="L177" s="345"/>
      <c r="M177" s="346">
        <f>SUM(M178:M179)</f>
        <v>162</v>
      </c>
      <c r="N177" s="408"/>
      <c r="O177" s="409"/>
    </row>
    <row r="178" spans="1:15" customFormat="1">
      <c r="A178" s="347"/>
      <c r="B178" s="347"/>
      <c r="C178" s="348"/>
      <c r="D178" s="421" t="s">
        <v>1709</v>
      </c>
      <c r="E178" s="422"/>
      <c r="F178" s="423">
        <v>162</v>
      </c>
      <c r="G178" s="352"/>
      <c r="H178" s="353"/>
      <c r="I178" s="353"/>
      <c r="J178" s="353"/>
      <c r="K178" s="353"/>
      <c r="L178" s="353"/>
      <c r="M178" s="353">
        <f>F178</f>
        <v>162</v>
      </c>
      <c r="N178" s="405"/>
      <c r="O178" s="352"/>
    </row>
    <row r="179" spans="1:15" customFormat="1">
      <c r="A179" s="354"/>
      <c r="B179" s="354"/>
      <c r="C179" s="355"/>
      <c r="D179" s="439"/>
      <c r="E179" s="440"/>
      <c r="F179" s="441"/>
      <c r="G179" s="359"/>
      <c r="H179" s="360"/>
      <c r="I179" s="360"/>
      <c r="J179" s="360"/>
      <c r="K179" s="360"/>
      <c r="L179" s="360"/>
      <c r="M179" s="360"/>
      <c r="N179" s="406"/>
      <c r="O179" s="359"/>
    </row>
    <row r="180" spans="1:15" customFormat="1" ht="31.5">
      <c r="A180" s="339" t="s">
        <v>1725</v>
      </c>
      <c r="B180" s="339" t="s">
        <v>2</v>
      </c>
      <c r="C180" s="340">
        <v>91998</v>
      </c>
      <c r="D180" s="436" t="s">
        <v>867</v>
      </c>
      <c r="E180" s="437" t="s">
        <v>167</v>
      </c>
      <c r="F180" s="438"/>
      <c r="G180" s="344"/>
      <c r="H180" s="345"/>
      <c r="I180" s="345"/>
      <c r="J180" s="345"/>
      <c r="K180" s="345"/>
      <c r="L180" s="345"/>
      <c r="M180" s="346">
        <f>SUM(M181:M183)</f>
        <v>540</v>
      </c>
      <c r="N180" s="408"/>
      <c r="O180" s="409"/>
    </row>
    <row r="181" spans="1:15" customFormat="1">
      <c r="A181" s="347"/>
      <c r="B181" s="347"/>
      <c r="C181" s="348"/>
      <c r="D181" s="421" t="s">
        <v>1709</v>
      </c>
      <c r="E181" s="422"/>
      <c r="F181" s="423">
        <v>13</v>
      </c>
      <c r="G181" s="352"/>
      <c r="H181" s="353"/>
      <c r="I181" s="353"/>
      <c r="J181" s="353"/>
      <c r="K181" s="353"/>
      <c r="L181" s="353"/>
      <c r="M181" s="353">
        <f>F181</f>
        <v>13</v>
      </c>
      <c r="N181" s="405"/>
      <c r="O181" s="352"/>
    </row>
    <row r="182" spans="1:15">
      <c r="A182" s="366"/>
      <c r="B182" s="366"/>
      <c r="C182" s="367"/>
      <c r="D182" s="421" t="s">
        <v>1711</v>
      </c>
      <c r="E182" s="361"/>
      <c r="F182" s="363">
        <v>527</v>
      </c>
      <c r="G182" s="352"/>
      <c r="H182" s="353"/>
      <c r="I182" s="353"/>
      <c r="J182" s="353"/>
      <c r="K182" s="353"/>
      <c r="L182" s="353"/>
      <c r="M182" s="353">
        <f>F182</f>
        <v>527</v>
      </c>
      <c r="N182" s="405"/>
      <c r="O182" s="352"/>
    </row>
    <row r="183" spans="1:15">
      <c r="A183" s="368"/>
      <c r="B183" s="368"/>
      <c r="C183" s="369"/>
      <c r="D183" s="356"/>
      <c r="E183" s="362"/>
      <c r="F183" s="364"/>
      <c r="G183" s="359"/>
      <c r="H183" s="360"/>
      <c r="I183" s="360"/>
      <c r="J183" s="360"/>
      <c r="K183" s="360"/>
      <c r="L183" s="360"/>
      <c r="M183" s="360"/>
      <c r="N183" s="406"/>
      <c r="O183" s="359"/>
    </row>
    <row r="184" spans="1:15" customFormat="1" ht="31.5">
      <c r="A184" s="339" t="s">
        <v>1726</v>
      </c>
      <c r="B184" s="339" t="s">
        <v>2</v>
      </c>
      <c r="C184" s="340">
        <v>91994</v>
      </c>
      <c r="D184" s="436" t="s">
        <v>869</v>
      </c>
      <c r="E184" s="437" t="s">
        <v>167</v>
      </c>
      <c r="F184" s="438"/>
      <c r="G184" s="344"/>
      <c r="H184" s="345"/>
      <c r="I184" s="345"/>
      <c r="J184" s="345"/>
      <c r="K184" s="345"/>
      <c r="L184" s="345"/>
      <c r="M184" s="346">
        <f>SUM(M185:M187)</f>
        <v>175</v>
      </c>
      <c r="N184" s="408"/>
      <c r="O184" s="409"/>
    </row>
    <row r="185" spans="1:15" customFormat="1">
      <c r="A185" s="347"/>
      <c r="B185" s="347"/>
      <c r="C185" s="348"/>
      <c r="D185" s="421" t="s">
        <v>1709</v>
      </c>
      <c r="E185" s="422"/>
      <c r="F185" s="423">
        <f>8+162</f>
        <v>170</v>
      </c>
      <c r="G185" s="352"/>
      <c r="H185" s="353"/>
      <c r="I185" s="353"/>
      <c r="J185" s="353"/>
      <c r="K185" s="353"/>
      <c r="L185" s="353"/>
      <c r="M185" s="353">
        <f>F185</f>
        <v>170</v>
      </c>
      <c r="N185" s="405"/>
      <c r="O185" s="352"/>
    </row>
    <row r="186" spans="1:15">
      <c r="A186" s="366"/>
      <c r="B186" s="366"/>
      <c r="C186" s="367"/>
      <c r="D186" s="421" t="s">
        <v>1711</v>
      </c>
      <c r="E186" s="361"/>
      <c r="F186" s="363">
        <v>5</v>
      </c>
      <c r="G186" s="352"/>
      <c r="H186" s="353"/>
      <c r="I186" s="353"/>
      <c r="J186" s="353"/>
      <c r="K186" s="353"/>
      <c r="L186" s="353"/>
      <c r="M186" s="353">
        <f>F186</f>
        <v>5</v>
      </c>
      <c r="N186" s="405"/>
      <c r="O186" s="352"/>
    </row>
    <row r="187" spans="1:15">
      <c r="A187" s="368"/>
      <c r="B187" s="368"/>
      <c r="C187" s="369"/>
      <c r="D187" s="356"/>
      <c r="E187" s="362"/>
      <c r="F187" s="364"/>
      <c r="G187" s="359"/>
      <c r="H187" s="360"/>
      <c r="I187" s="360"/>
      <c r="J187" s="360"/>
      <c r="K187" s="360"/>
      <c r="L187" s="360"/>
      <c r="M187" s="360"/>
      <c r="N187" s="406"/>
      <c r="O187" s="359"/>
    </row>
    <row r="188" spans="1:15" customFormat="1" ht="31.5">
      <c r="A188" s="339" t="s">
        <v>1727</v>
      </c>
      <c r="B188" s="339" t="s">
        <v>2</v>
      </c>
      <c r="C188" s="340">
        <v>91990</v>
      </c>
      <c r="D188" s="436" t="s">
        <v>871</v>
      </c>
      <c r="E188" s="437" t="s">
        <v>872</v>
      </c>
      <c r="F188" s="438"/>
      <c r="G188" s="344"/>
      <c r="H188" s="345"/>
      <c r="I188" s="345"/>
      <c r="J188" s="345"/>
      <c r="K188" s="345"/>
      <c r="L188" s="345"/>
      <c r="M188" s="346">
        <f>SUM(M189:M192)</f>
        <v>22</v>
      </c>
      <c r="N188" s="408"/>
      <c r="O188" s="468"/>
    </row>
    <row r="189" spans="1:15">
      <c r="A189" s="366"/>
      <c r="B189" s="366"/>
      <c r="C189" s="367"/>
      <c r="D189" s="421" t="s">
        <v>1710</v>
      </c>
      <c r="E189" s="361"/>
      <c r="F189" s="363">
        <v>17</v>
      </c>
      <c r="G189" s="352"/>
      <c r="H189" s="353"/>
      <c r="I189" s="353"/>
      <c r="J189" s="353"/>
      <c r="K189" s="353"/>
      <c r="L189" s="353"/>
      <c r="M189" s="353">
        <f>F189</f>
        <v>17</v>
      </c>
      <c r="N189" s="405"/>
      <c r="O189" s="352"/>
    </row>
    <row r="190" spans="1:15">
      <c r="A190" s="366"/>
      <c r="B190" s="366"/>
      <c r="C190" s="367"/>
      <c r="D190" s="421" t="s">
        <v>1711</v>
      </c>
      <c r="E190" s="361"/>
      <c r="F190" s="363">
        <v>1</v>
      </c>
      <c r="G190" s="352"/>
      <c r="H190" s="353"/>
      <c r="I190" s="353"/>
      <c r="J190" s="353"/>
      <c r="K190" s="353"/>
      <c r="L190" s="353"/>
      <c r="M190" s="353">
        <f>F190</f>
        <v>1</v>
      </c>
      <c r="N190" s="405"/>
      <c r="O190" s="352"/>
    </row>
    <row r="191" spans="1:15">
      <c r="A191" s="366"/>
      <c r="B191" s="366"/>
      <c r="C191" s="367"/>
      <c r="D191" s="421" t="s">
        <v>1405</v>
      </c>
      <c r="E191" s="361"/>
      <c r="F191" s="363">
        <v>4</v>
      </c>
      <c r="G191" s="352"/>
      <c r="H191" s="353"/>
      <c r="I191" s="353"/>
      <c r="J191" s="353"/>
      <c r="K191" s="353"/>
      <c r="L191" s="353"/>
      <c r="M191" s="353">
        <f>F191</f>
        <v>4</v>
      </c>
      <c r="N191" s="405"/>
      <c r="O191" s="352"/>
    </row>
    <row r="192" spans="1:15">
      <c r="A192" s="368"/>
      <c r="B192" s="368"/>
      <c r="C192" s="369"/>
      <c r="D192" s="356"/>
      <c r="E192" s="362"/>
      <c r="F192" s="364"/>
      <c r="G192" s="359"/>
      <c r="H192" s="360"/>
      <c r="I192" s="360"/>
      <c r="J192" s="360"/>
      <c r="K192" s="360"/>
      <c r="L192" s="360"/>
      <c r="M192" s="360"/>
      <c r="N192" s="406"/>
      <c r="O192" s="359"/>
    </row>
    <row r="193" spans="1:15" customFormat="1" ht="47.25">
      <c r="A193" s="339" t="s">
        <v>1728</v>
      </c>
      <c r="B193" s="339" t="s">
        <v>3</v>
      </c>
      <c r="C193" s="340" t="s">
        <v>874</v>
      </c>
      <c r="D193" s="436" t="s">
        <v>875</v>
      </c>
      <c r="E193" s="437" t="s">
        <v>167</v>
      </c>
      <c r="F193" s="438"/>
      <c r="G193" s="344"/>
      <c r="H193" s="345"/>
      <c r="I193" s="345"/>
      <c r="J193" s="345"/>
      <c r="K193" s="345"/>
      <c r="L193" s="345"/>
      <c r="M193" s="346">
        <f>SUM(M194:M195)</f>
        <v>21</v>
      </c>
      <c r="N193" s="408"/>
      <c r="O193" s="468"/>
    </row>
    <row r="194" spans="1:15" customFormat="1">
      <c r="A194" s="347"/>
      <c r="B194" s="347"/>
      <c r="C194" s="348"/>
      <c r="D194" s="421" t="s">
        <v>1711</v>
      </c>
      <c r="E194" s="422"/>
      <c r="F194" s="423">
        <v>21</v>
      </c>
      <c r="G194" s="352"/>
      <c r="H194" s="353"/>
      <c r="I194" s="353"/>
      <c r="J194" s="353"/>
      <c r="K194" s="353"/>
      <c r="L194" s="353"/>
      <c r="M194" s="353">
        <f t="shared" ref="M194:M200" si="0">F194</f>
        <v>21</v>
      </c>
      <c r="N194" s="405"/>
      <c r="O194" s="469"/>
    </row>
    <row r="195" spans="1:15">
      <c r="A195" s="368"/>
      <c r="B195" s="368"/>
      <c r="C195" s="369"/>
      <c r="D195" s="356"/>
      <c r="E195" s="362"/>
      <c r="F195" s="364"/>
      <c r="G195" s="359"/>
      <c r="H195" s="360"/>
      <c r="I195" s="360"/>
      <c r="J195" s="360"/>
      <c r="K195" s="360"/>
      <c r="L195" s="360"/>
      <c r="M195" s="360"/>
      <c r="N195" s="406"/>
      <c r="O195" s="359"/>
    </row>
    <row r="196" spans="1:15" customFormat="1" ht="31.5">
      <c r="A196" s="339" t="s">
        <v>1729</v>
      </c>
      <c r="B196" s="339" t="s">
        <v>3</v>
      </c>
      <c r="C196" s="340" t="s">
        <v>877</v>
      </c>
      <c r="D196" s="436" t="s">
        <v>878</v>
      </c>
      <c r="E196" s="437" t="s">
        <v>167</v>
      </c>
      <c r="F196" s="438"/>
      <c r="G196" s="344"/>
      <c r="H196" s="345"/>
      <c r="I196" s="345"/>
      <c r="J196" s="345"/>
      <c r="K196" s="345"/>
      <c r="L196" s="345"/>
      <c r="M196" s="346">
        <f>SUM(M197:M201)</f>
        <v>114</v>
      </c>
      <c r="N196" s="408"/>
      <c r="O196" s="468"/>
    </row>
    <row r="197" spans="1:15" customFormat="1">
      <c r="A197" s="347"/>
      <c r="B197" s="347"/>
      <c r="C197" s="348"/>
      <c r="D197" s="421" t="s">
        <v>1709</v>
      </c>
      <c r="E197" s="422"/>
      <c r="F197" s="423">
        <f>8+13</f>
        <v>21</v>
      </c>
      <c r="G197" s="352"/>
      <c r="H197" s="353"/>
      <c r="I197" s="353"/>
      <c r="J197" s="353"/>
      <c r="K197" s="353"/>
      <c r="L197" s="353"/>
      <c r="M197" s="353">
        <f t="shared" si="0"/>
        <v>21</v>
      </c>
      <c r="N197" s="405"/>
      <c r="O197" s="469"/>
    </row>
    <row r="198" spans="1:15" customFormat="1">
      <c r="A198" s="347"/>
      <c r="B198" s="347"/>
      <c r="C198" s="348"/>
      <c r="D198" s="421" t="s">
        <v>1730</v>
      </c>
      <c r="E198" s="422"/>
      <c r="F198" s="423">
        <v>17</v>
      </c>
      <c r="G198" s="352"/>
      <c r="H198" s="353"/>
      <c r="I198" s="353"/>
      <c r="J198" s="353"/>
      <c r="K198" s="353"/>
      <c r="L198" s="353"/>
      <c r="M198" s="353">
        <f t="shared" si="0"/>
        <v>17</v>
      </c>
      <c r="N198" s="405"/>
      <c r="O198" s="469"/>
    </row>
    <row r="199" spans="1:15" customFormat="1">
      <c r="A199" s="347"/>
      <c r="B199" s="347"/>
      <c r="C199" s="348"/>
      <c r="D199" s="421" t="s">
        <v>1711</v>
      </c>
      <c r="E199" s="422"/>
      <c r="F199" s="423">
        <v>72</v>
      </c>
      <c r="G199" s="352"/>
      <c r="H199" s="353"/>
      <c r="I199" s="353"/>
      <c r="J199" s="353"/>
      <c r="K199" s="353"/>
      <c r="L199" s="353"/>
      <c r="M199" s="353">
        <f t="shared" si="0"/>
        <v>72</v>
      </c>
      <c r="N199" s="405"/>
      <c r="O199" s="469"/>
    </row>
    <row r="200" spans="1:15">
      <c r="A200" s="366"/>
      <c r="B200" s="366"/>
      <c r="C200" s="367"/>
      <c r="D200" s="421" t="s">
        <v>1405</v>
      </c>
      <c r="E200" s="361"/>
      <c r="F200" s="363">
        <v>4</v>
      </c>
      <c r="G200" s="352"/>
      <c r="H200" s="353"/>
      <c r="I200" s="353"/>
      <c r="J200" s="353"/>
      <c r="K200" s="353"/>
      <c r="L200" s="353"/>
      <c r="M200" s="353">
        <f t="shared" si="0"/>
        <v>4</v>
      </c>
      <c r="N200" s="405"/>
      <c r="O200" s="352"/>
    </row>
    <row r="201" spans="1:15">
      <c r="A201" s="368"/>
      <c r="B201" s="368"/>
      <c r="C201" s="369"/>
      <c r="D201" s="356"/>
      <c r="E201" s="362"/>
      <c r="F201" s="364"/>
      <c r="G201" s="359"/>
      <c r="H201" s="360"/>
      <c r="I201" s="360"/>
      <c r="J201" s="360"/>
      <c r="K201" s="360"/>
      <c r="L201" s="360"/>
      <c r="M201" s="360"/>
      <c r="N201" s="406"/>
      <c r="O201" s="359"/>
    </row>
    <row r="202" spans="1:15" customFormat="1" ht="31.5">
      <c r="A202" s="339" t="s">
        <v>1731</v>
      </c>
      <c r="B202" s="339" t="s">
        <v>3</v>
      </c>
      <c r="C202" s="340" t="s">
        <v>880</v>
      </c>
      <c r="D202" s="436" t="s">
        <v>881</v>
      </c>
      <c r="E202" s="437" t="s">
        <v>167</v>
      </c>
      <c r="F202" s="438"/>
      <c r="G202" s="344"/>
      <c r="H202" s="345"/>
      <c r="I202" s="345"/>
      <c r="J202" s="345"/>
      <c r="K202" s="345"/>
      <c r="L202" s="345"/>
      <c r="M202" s="346">
        <f>SUM(M203:M205)</f>
        <v>279</v>
      </c>
      <c r="N202" s="408"/>
      <c r="O202" s="409"/>
    </row>
    <row r="203" spans="1:15" customFormat="1">
      <c r="A203" s="347"/>
      <c r="B203" s="347"/>
      <c r="C203" s="348"/>
      <c r="D203" s="421" t="s">
        <v>1709</v>
      </c>
      <c r="E203" s="422"/>
      <c r="F203" s="423">
        <v>162</v>
      </c>
      <c r="G203" s="352"/>
      <c r="H203" s="353"/>
      <c r="I203" s="353"/>
      <c r="J203" s="353"/>
      <c r="K203" s="353"/>
      <c r="L203" s="353"/>
      <c r="M203" s="353">
        <f>F203</f>
        <v>162</v>
      </c>
      <c r="N203" s="405"/>
      <c r="O203" s="352"/>
    </row>
    <row r="204" spans="1:15">
      <c r="A204" s="366"/>
      <c r="B204" s="366"/>
      <c r="C204" s="367"/>
      <c r="D204" s="421" t="s">
        <v>1711</v>
      </c>
      <c r="E204" s="361"/>
      <c r="F204" s="363">
        <v>117</v>
      </c>
      <c r="G204" s="352"/>
      <c r="H204" s="353"/>
      <c r="I204" s="353"/>
      <c r="J204" s="353"/>
      <c r="K204" s="353"/>
      <c r="L204" s="353"/>
      <c r="M204" s="353">
        <f>F204</f>
        <v>117</v>
      </c>
      <c r="N204" s="405"/>
      <c r="O204" s="352"/>
    </row>
    <row r="205" spans="1:15">
      <c r="A205" s="368"/>
      <c r="B205" s="368"/>
      <c r="C205" s="369"/>
      <c r="D205" s="356"/>
      <c r="E205" s="362"/>
      <c r="F205" s="364"/>
      <c r="G205" s="359"/>
      <c r="H205" s="360"/>
      <c r="I205" s="360"/>
      <c r="J205" s="360"/>
      <c r="K205" s="360"/>
      <c r="L205" s="360"/>
      <c r="M205" s="360"/>
      <c r="N205" s="406"/>
      <c r="O205" s="359"/>
    </row>
    <row r="206" spans="1:15" customFormat="1" ht="31.5">
      <c r="A206" s="339" t="s">
        <v>1732</v>
      </c>
      <c r="B206" s="339" t="s">
        <v>3</v>
      </c>
      <c r="C206" s="340" t="s">
        <v>883</v>
      </c>
      <c r="D206" s="436" t="s">
        <v>884</v>
      </c>
      <c r="E206" s="437" t="s">
        <v>167</v>
      </c>
      <c r="F206" s="438"/>
      <c r="G206" s="344"/>
      <c r="H206" s="345"/>
      <c r="I206" s="345"/>
      <c r="J206" s="345"/>
      <c r="K206" s="345"/>
      <c r="L206" s="345"/>
      <c r="M206" s="346">
        <f>SUM(M207:M208)</f>
        <v>23</v>
      </c>
      <c r="N206" s="408"/>
      <c r="O206" s="409"/>
    </row>
    <row r="207" spans="1:15" customFormat="1">
      <c r="A207" s="347"/>
      <c r="B207" s="347"/>
      <c r="C207" s="348"/>
      <c r="D207" s="421" t="s">
        <v>1711</v>
      </c>
      <c r="E207" s="422"/>
      <c r="F207" s="423">
        <v>23</v>
      </c>
      <c r="G207" s="352"/>
      <c r="H207" s="353"/>
      <c r="I207" s="353"/>
      <c r="J207" s="353"/>
      <c r="K207" s="353"/>
      <c r="L207" s="353"/>
      <c r="M207" s="353">
        <f>F207</f>
        <v>23</v>
      </c>
      <c r="N207" s="405"/>
      <c r="O207" s="352"/>
    </row>
    <row r="208" spans="1:15" customFormat="1">
      <c r="A208" s="354"/>
      <c r="B208" s="354"/>
      <c r="C208" s="355"/>
      <c r="D208" s="439"/>
      <c r="E208" s="440"/>
      <c r="F208" s="441"/>
      <c r="G208" s="359"/>
      <c r="H208" s="360"/>
      <c r="I208" s="360"/>
      <c r="J208" s="360"/>
      <c r="K208" s="360"/>
      <c r="L208" s="360"/>
      <c r="M208" s="353"/>
      <c r="N208" s="406"/>
      <c r="O208" s="359"/>
    </row>
    <row r="209" spans="1:15" customFormat="1" ht="31.5">
      <c r="A209" s="339" t="s">
        <v>1733</v>
      </c>
      <c r="B209" s="339" t="s">
        <v>160</v>
      </c>
      <c r="C209" s="340" t="s">
        <v>886</v>
      </c>
      <c r="D209" s="436" t="s">
        <v>887</v>
      </c>
      <c r="E209" s="437" t="s">
        <v>163</v>
      </c>
      <c r="F209" s="438"/>
      <c r="G209" s="344"/>
      <c r="H209" s="345"/>
      <c r="I209" s="345"/>
      <c r="J209" s="345"/>
      <c r="K209" s="345"/>
      <c r="L209" s="345"/>
      <c r="M209" s="346">
        <f>SUM(M210:M211)</f>
        <v>26</v>
      </c>
      <c r="N209" s="408"/>
      <c r="O209" s="409"/>
    </row>
    <row r="210" spans="1:15" customFormat="1">
      <c r="A210" s="347"/>
      <c r="B210" s="347"/>
      <c r="C210" s="348"/>
      <c r="D210" s="421" t="s">
        <v>1711</v>
      </c>
      <c r="E210" s="422"/>
      <c r="F210" s="423">
        <v>26</v>
      </c>
      <c r="G210" s="352"/>
      <c r="H210" s="353"/>
      <c r="I210" s="353"/>
      <c r="J210" s="353"/>
      <c r="K210" s="353"/>
      <c r="L210" s="353"/>
      <c r="M210" s="353">
        <f>F210</f>
        <v>26</v>
      </c>
      <c r="N210" s="405"/>
      <c r="O210" s="352"/>
    </row>
    <row r="211" spans="1:15" customFormat="1">
      <c r="A211" s="354"/>
      <c r="B211" s="354"/>
      <c r="C211" s="355"/>
      <c r="D211" s="439"/>
      <c r="E211" s="440"/>
      <c r="F211" s="441"/>
      <c r="G211" s="359"/>
      <c r="H211" s="360"/>
      <c r="I211" s="360"/>
      <c r="J211" s="360"/>
      <c r="K211" s="360"/>
      <c r="L211" s="360"/>
      <c r="M211" s="353"/>
      <c r="N211" s="406"/>
      <c r="O211" s="359"/>
    </row>
    <row r="212" spans="1:15" customFormat="1" ht="31.5">
      <c r="A212" s="339" t="s">
        <v>1734</v>
      </c>
      <c r="B212" s="339" t="s">
        <v>2</v>
      </c>
      <c r="C212" s="340">
        <v>91941</v>
      </c>
      <c r="D212" s="436" t="s">
        <v>889</v>
      </c>
      <c r="E212" s="437" t="s">
        <v>167</v>
      </c>
      <c r="F212" s="438"/>
      <c r="G212" s="344"/>
      <c r="H212" s="345"/>
      <c r="I212" s="345"/>
      <c r="J212" s="345"/>
      <c r="K212" s="345"/>
      <c r="L212" s="345"/>
      <c r="M212" s="346">
        <f>SUM(M213:M215)</f>
        <v>176</v>
      </c>
      <c r="N212" s="408"/>
      <c r="O212" s="409"/>
    </row>
    <row r="213" spans="1:15" customFormat="1">
      <c r="A213" s="347"/>
      <c r="B213" s="347"/>
      <c r="C213" s="348"/>
      <c r="D213" s="421" t="s">
        <v>1709</v>
      </c>
      <c r="E213" s="422"/>
      <c r="F213" s="423">
        <v>13</v>
      </c>
      <c r="G213" s="352"/>
      <c r="H213" s="353"/>
      <c r="I213" s="353"/>
      <c r="J213" s="353"/>
      <c r="K213" s="353"/>
      <c r="L213" s="353"/>
      <c r="M213" s="353">
        <f>F213</f>
        <v>13</v>
      </c>
      <c r="N213" s="405"/>
      <c r="O213" s="352"/>
    </row>
    <row r="214" spans="1:15">
      <c r="A214" s="366"/>
      <c r="B214" s="366"/>
      <c r="C214" s="367"/>
      <c r="D214" s="421" t="s">
        <v>1711</v>
      </c>
      <c r="E214" s="361"/>
      <c r="F214" s="363">
        <v>163</v>
      </c>
      <c r="G214" s="352"/>
      <c r="H214" s="353"/>
      <c r="I214" s="353"/>
      <c r="J214" s="353"/>
      <c r="K214" s="353"/>
      <c r="L214" s="353"/>
      <c r="M214" s="353">
        <f>F214</f>
        <v>163</v>
      </c>
      <c r="N214" s="405"/>
      <c r="O214" s="352"/>
    </row>
    <row r="215" spans="1:15">
      <c r="A215" s="368"/>
      <c r="B215" s="368"/>
      <c r="C215" s="369"/>
      <c r="D215" s="356"/>
      <c r="E215" s="362"/>
      <c r="F215" s="364"/>
      <c r="G215" s="359"/>
      <c r="H215" s="360"/>
      <c r="I215" s="360"/>
      <c r="J215" s="360"/>
      <c r="K215" s="360"/>
      <c r="L215" s="360"/>
      <c r="M215" s="360"/>
      <c r="N215" s="406"/>
      <c r="O215" s="359"/>
    </row>
    <row r="216" spans="1:15" customFormat="1" ht="31.5">
      <c r="A216" s="339" t="s">
        <v>1735</v>
      </c>
      <c r="B216" s="339" t="s">
        <v>2</v>
      </c>
      <c r="C216" s="340">
        <v>91940</v>
      </c>
      <c r="D216" s="436" t="s">
        <v>891</v>
      </c>
      <c r="E216" s="437" t="s">
        <v>167</v>
      </c>
      <c r="F216" s="438"/>
      <c r="G216" s="344"/>
      <c r="H216" s="345"/>
      <c r="I216" s="345"/>
      <c r="J216" s="345"/>
      <c r="K216" s="345"/>
      <c r="L216" s="345"/>
      <c r="M216" s="346">
        <f>SUM(M217:M219)</f>
        <v>195</v>
      </c>
      <c r="N216" s="408"/>
      <c r="O216" s="409"/>
    </row>
    <row r="217" spans="1:15" customFormat="1">
      <c r="A217" s="347"/>
      <c r="B217" s="347"/>
      <c r="C217" s="348"/>
      <c r="D217" s="421" t="s">
        <v>1709</v>
      </c>
      <c r="E217" s="422"/>
      <c r="F217" s="423">
        <v>170</v>
      </c>
      <c r="G217" s="352"/>
      <c r="H217" s="353"/>
      <c r="I217" s="353"/>
      <c r="J217" s="353"/>
      <c r="K217" s="353"/>
      <c r="L217" s="353"/>
      <c r="M217" s="353">
        <f>F217</f>
        <v>170</v>
      </c>
      <c r="N217" s="405"/>
      <c r="O217" s="352"/>
    </row>
    <row r="218" spans="1:15">
      <c r="A218" s="366"/>
      <c r="B218" s="366"/>
      <c r="C218" s="367"/>
      <c r="D218" s="421" t="s">
        <v>1711</v>
      </c>
      <c r="E218" s="361"/>
      <c r="F218" s="363">
        <v>25</v>
      </c>
      <c r="G218" s="352"/>
      <c r="H218" s="353"/>
      <c r="I218" s="353"/>
      <c r="J218" s="353"/>
      <c r="K218" s="353"/>
      <c r="L218" s="353"/>
      <c r="M218" s="353">
        <f>F218</f>
        <v>25</v>
      </c>
      <c r="N218" s="405"/>
      <c r="O218" s="352"/>
    </row>
    <row r="219" spans="1:15">
      <c r="A219" s="368"/>
      <c r="B219" s="368"/>
      <c r="C219" s="369"/>
      <c r="D219" s="356"/>
      <c r="E219" s="362"/>
      <c r="F219" s="364"/>
      <c r="G219" s="359"/>
      <c r="H219" s="360"/>
      <c r="I219" s="360"/>
      <c r="J219" s="360"/>
      <c r="K219" s="360"/>
      <c r="L219" s="360"/>
      <c r="M219" s="360"/>
      <c r="N219" s="406"/>
      <c r="O219" s="359"/>
    </row>
    <row r="220" spans="1:15" customFormat="1" ht="31.5">
      <c r="A220" s="339" t="s">
        <v>1736</v>
      </c>
      <c r="B220" s="339" t="s">
        <v>2</v>
      </c>
      <c r="C220" s="340">
        <v>91939</v>
      </c>
      <c r="D220" s="436" t="s">
        <v>893</v>
      </c>
      <c r="E220" s="437" t="s">
        <v>872</v>
      </c>
      <c r="F220" s="438"/>
      <c r="G220" s="344"/>
      <c r="H220" s="345"/>
      <c r="I220" s="345"/>
      <c r="J220" s="345"/>
      <c r="K220" s="345"/>
      <c r="L220" s="345"/>
      <c r="M220" s="346">
        <f>SUM(M221:M224)</f>
        <v>22</v>
      </c>
      <c r="N220" s="408"/>
      <c r="O220" s="409"/>
    </row>
    <row r="221" spans="1:15">
      <c r="A221" s="366"/>
      <c r="B221" s="366"/>
      <c r="C221" s="367"/>
      <c r="D221" s="421" t="s">
        <v>1710</v>
      </c>
      <c r="E221" s="361"/>
      <c r="F221" s="363">
        <v>17</v>
      </c>
      <c r="G221" s="352"/>
      <c r="H221" s="353"/>
      <c r="I221" s="353"/>
      <c r="J221" s="353"/>
      <c r="K221" s="353"/>
      <c r="L221" s="353"/>
      <c r="M221" s="353">
        <f t="shared" ref="M221:M222" si="1">F221</f>
        <v>17</v>
      </c>
      <c r="N221" s="405"/>
      <c r="O221" s="352"/>
    </row>
    <row r="222" spans="1:15">
      <c r="A222" s="366"/>
      <c r="B222" s="366"/>
      <c r="C222" s="367"/>
      <c r="D222" s="421" t="s">
        <v>1711</v>
      </c>
      <c r="E222" s="361"/>
      <c r="F222" s="363">
        <v>1</v>
      </c>
      <c r="G222" s="352"/>
      <c r="H222" s="353"/>
      <c r="I222" s="353"/>
      <c r="J222" s="353"/>
      <c r="K222" s="353"/>
      <c r="L222" s="353"/>
      <c r="M222" s="353">
        <f t="shared" si="1"/>
        <v>1</v>
      </c>
      <c r="N222" s="405"/>
      <c r="O222" s="352"/>
    </row>
    <row r="223" spans="1:15">
      <c r="A223" s="366"/>
      <c r="B223" s="366"/>
      <c r="C223" s="367"/>
      <c r="D223" s="421" t="s">
        <v>1405</v>
      </c>
      <c r="E223" s="361"/>
      <c r="F223" s="363">
        <v>4</v>
      </c>
      <c r="G223" s="352"/>
      <c r="H223" s="353"/>
      <c r="I223" s="353"/>
      <c r="J223" s="353"/>
      <c r="K223" s="353"/>
      <c r="L223" s="353"/>
      <c r="M223" s="353">
        <f>F223</f>
        <v>4</v>
      </c>
      <c r="N223" s="405"/>
      <c r="O223" s="352"/>
    </row>
    <row r="224" spans="1:15">
      <c r="A224" s="368"/>
      <c r="B224" s="368"/>
      <c r="C224" s="369"/>
      <c r="D224" s="356"/>
      <c r="E224" s="362"/>
      <c r="F224" s="364"/>
      <c r="G224" s="359"/>
      <c r="H224" s="360"/>
      <c r="I224" s="360"/>
      <c r="J224" s="360"/>
      <c r="K224" s="360"/>
      <c r="L224" s="360"/>
      <c r="M224" s="360"/>
      <c r="N224" s="406"/>
      <c r="O224" s="359"/>
    </row>
    <row r="225" spans="1:15" customFormat="1" ht="31.5">
      <c r="A225" s="339" t="s">
        <v>1737</v>
      </c>
      <c r="B225" s="339" t="s">
        <v>2</v>
      </c>
      <c r="C225" s="340">
        <v>91944</v>
      </c>
      <c r="D225" s="436" t="s">
        <v>895</v>
      </c>
      <c r="E225" s="437" t="s">
        <v>167</v>
      </c>
      <c r="F225" s="438"/>
      <c r="G225" s="344"/>
      <c r="H225" s="345"/>
      <c r="I225" s="345"/>
      <c r="J225" s="345"/>
      <c r="K225" s="345"/>
      <c r="L225" s="345"/>
      <c r="M225" s="346">
        <f>SUM(M226:M227)</f>
        <v>49</v>
      </c>
      <c r="N225" s="408"/>
      <c r="O225" s="409"/>
    </row>
    <row r="226" spans="1:15" customFormat="1">
      <c r="A226" s="347"/>
      <c r="B226" s="347"/>
      <c r="C226" s="348"/>
      <c r="D226" s="421" t="s">
        <v>1711</v>
      </c>
      <c r="E226" s="422"/>
      <c r="F226" s="423">
        <v>49</v>
      </c>
      <c r="G226" s="352"/>
      <c r="H226" s="353"/>
      <c r="I226" s="353"/>
      <c r="J226" s="353"/>
      <c r="K226" s="353"/>
      <c r="L226" s="353"/>
      <c r="M226" s="353">
        <f>F226</f>
        <v>49</v>
      </c>
      <c r="N226" s="405"/>
      <c r="O226" s="352"/>
    </row>
    <row r="227" spans="1:15" customFormat="1">
      <c r="A227" s="354"/>
      <c r="B227" s="354"/>
      <c r="C227" s="355"/>
      <c r="D227" s="439"/>
      <c r="E227" s="440"/>
      <c r="F227" s="441"/>
      <c r="G227" s="359"/>
      <c r="H227" s="360"/>
      <c r="I227" s="360"/>
      <c r="J227" s="360"/>
      <c r="K227" s="360"/>
      <c r="L227" s="360"/>
      <c r="M227" s="353"/>
      <c r="N227" s="406"/>
      <c r="O227" s="359"/>
    </row>
    <row r="228" spans="1:15" customFormat="1" ht="31.5">
      <c r="A228" s="339" t="s">
        <v>1738</v>
      </c>
      <c r="B228" s="339" t="s">
        <v>2</v>
      </c>
      <c r="C228" s="340">
        <v>91947</v>
      </c>
      <c r="D228" s="436" t="s">
        <v>897</v>
      </c>
      <c r="E228" s="437" t="s">
        <v>167</v>
      </c>
      <c r="F228" s="438"/>
      <c r="G228" s="344"/>
      <c r="H228" s="345"/>
      <c r="I228" s="345"/>
      <c r="J228" s="345"/>
      <c r="K228" s="345"/>
      <c r="L228" s="345"/>
      <c r="M228" s="346">
        <f>SUM(M229:M231)</f>
        <v>176</v>
      </c>
      <c r="N228" s="408"/>
      <c r="O228" s="409"/>
    </row>
    <row r="229" spans="1:15" customFormat="1">
      <c r="A229" s="347"/>
      <c r="B229" s="347"/>
      <c r="C229" s="348"/>
      <c r="D229" s="421" t="s">
        <v>1709</v>
      </c>
      <c r="E229" s="422"/>
      <c r="F229" s="423">
        <v>13</v>
      </c>
      <c r="G229" s="352"/>
      <c r="H229" s="353"/>
      <c r="I229" s="353"/>
      <c r="J229" s="353"/>
      <c r="K229" s="353"/>
      <c r="L229" s="353"/>
      <c r="M229" s="353">
        <f>F229</f>
        <v>13</v>
      </c>
      <c r="N229" s="405"/>
      <c r="O229" s="352"/>
    </row>
    <row r="230" spans="1:15">
      <c r="A230" s="366"/>
      <c r="B230" s="366"/>
      <c r="C230" s="367"/>
      <c r="D230" s="421" t="s">
        <v>1711</v>
      </c>
      <c r="E230" s="361"/>
      <c r="F230" s="363">
        <v>163</v>
      </c>
      <c r="G230" s="352"/>
      <c r="H230" s="353"/>
      <c r="I230" s="353"/>
      <c r="J230" s="353"/>
      <c r="K230" s="353"/>
      <c r="L230" s="353"/>
      <c r="M230" s="353">
        <f>F230</f>
        <v>163</v>
      </c>
      <c r="N230" s="405"/>
      <c r="O230" s="352"/>
    </row>
    <row r="231" spans="1:15">
      <c r="A231" s="368"/>
      <c r="B231" s="368"/>
      <c r="C231" s="369"/>
      <c r="D231" s="356"/>
      <c r="E231" s="362"/>
      <c r="F231" s="364"/>
      <c r="G231" s="359"/>
      <c r="H231" s="360"/>
      <c r="I231" s="360"/>
      <c r="J231" s="360"/>
      <c r="K231" s="360"/>
      <c r="L231" s="360"/>
      <c r="M231" s="360"/>
      <c r="N231" s="406"/>
      <c r="O231" s="359"/>
    </row>
    <row r="232" spans="1:15" customFormat="1" ht="31.5">
      <c r="A232" s="339" t="s">
        <v>1739</v>
      </c>
      <c r="B232" s="339" t="s">
        <v>2</v>
      </c>
      <c r="C232" s="340">
        <v>91946</v>
      </c>
      <c r="D232" s="436" t="s">
        <v>899</v>
      </c>
      <c r="E232" s="437" t="s">
        <v>167</v>
      </c>
      <c r="F232" s="438"/>
      <c r="G232" s="344"/>
      <c r="H232" s="345"/>
      <c r="I232" s="345"/>
      <c r="J232" s="345"/>
      <c r="K232" s="345"/>
      <c r="L232" s="345"/>
      <c r="M232" s="346">
        <f>SUM(M233:M235)</f>
        <v>195</v>
      </c>
      <c r="N232" s="408"/>
      <c r="O232" s="409"/>
    </row>
    <row r="233" spans="1:15" customFormat="1">
      <c r="A233" s="347"/>
      <c r="B233" s="347"/>
      <c r="C233" s="348"/>
      <c r="D233" s="421" t="s">
        <v>1709</v>
      </c>
      <c r="E233" s="422"/>
      <c r="F233" s="423">
        <v>170</v>
      </c>
      <c r="G233" s="352"/>
      <c r="H233" s="353"/>
      <c r="I233" s="353"/>
      <c r="J233" s="353"/>
      <c r="K233" s="353"/>
      <c r="L233" s="353"/>
      <c r="M233" s="353">
        <f>F233</f>
        <v>170</v>
      </c>
      <c r="N233" s="405"/>
      <c r="O233" s="352"/>
    </row>
    <row r="234" spans="1:15">
      <c r="A234" s="366"/>
      <c r="B234" s="366"/>
      <c r="C234" s="367"/>
      <c r="D234" s="421" t="s">
        <v>1711</v>
      </c>
      <c r="E234" s="361"/>
      <c r="F234" s="363">
        <v>25</v>
      </c>
      <c r="G234" s="352"/>
      <c r="H234" s="353"/>
      <c r="I234" s="353"/>
      <c r="J234" s="353"/>
      <c r="K234" s="353"/>
      <c r="L234" s="353"/>
      <c r="M234" s="353">
        <f>F234</f>
        <v>25</v>
      </c>
      <c r="N234" s="405"/>
      <c r="O234" s="352"/>
    </row>
    <row r="235" spans="1:15">
      <c r="A235" s="368"/>
      <c r="B235" s="368"/>
      <c r="C235" s="369"/>
      <c r="D235" s="356"/>
      <c r="E235" s="362"/>
      <c r="F235" s="364"/>
      <c r="G235" s="359"/>
      <c r="H235" s="360"/>
      <c r="I235" s="360"/>
      <c r="J235" s="360"/>
      <c r="K235" s="360"/>
      <c r="L235" s="360"/>
      <c r="M235" s="360"/>
      <c r="N235" s="406"/>
      <c r="O235" s="359"/>
    </row>
    <row r="236" spans="1:15" customFormat="1" ht="31.5">
      <c r="A236" s="339" t="s">
        <v>1740</v>
      </c>
      <c r="B236" s="339" t="s">
        <v>2</v>
      </c>
      <c r="C236" s="340">
        <v>91945</v>
      </c>
      <c r="D236" s="436" t="s">
        <v>901</v>
      </c>
      <c r="E236" s="437" t="s">
        <v>167</v>
      </c>
      <c r="F236" s="438"/>
      <c r="G236" s="344"/>
      <c r="H236" s="345"/>
      <c r="I236" s="345"/>
      <c r="J236" s="345"/>
      <c r="K236" s="345"/>
      <c r="L236" s="345"/>
      <c r="M236" s="346">
        <f>SUM(M237:M240)</f>
        <v>22</v>
      </c>
      <c r="N236" s="408"/>
      <c r="O236" s="409"/>
    </row>
    <row r="237" spans="1:15">
      <c r="A237" s="366"/>
      <c r="B237" s="366"/>
      <c r="C237" s="367"/>
      <c r="D237" s="421" t="s">
        <v>1710</v>
      </c>
      <c r="E237" s="361"/>
      <c r="F237" s="363">
        <v>17</v>
      </c>
      <c r="G237" s="352"/>
      <c r="H237" s="353"/>
      <c r="I237" s="353"/>
      <c r="J237" s="353"/>
      <c r="K237" s="353"/>
      <c r="L237" s="353"/>
      <c r="M237" s="353">
        <f t="shared" ref="M237:M238" si="2">F237</f>
        <v>17</v>
      </c>
      <c r="N237" s="405"/>
      <c r="O237" s="352"/>
    </row>
    <row r="238" spans="1:15">
      <c r="A238" s="366"/>
      <c r="B238" s="366"/>
      <c r="C238" s="367"/>
      <c r="D238" s="421" t="s">
        <v>1711</v>
      </c>
      <c r="E238" s="361"/>
      <c r="F238" s="363">
        <v>1</v>
      </c>
      <c r="G238" s="352"/>
      <c r="H238" s="353"/>
      <c r="I238" s="353"/>
      <c r="J238" s="353"/>
      <c r="K238" s="353"/>
      <c r="L238" s="353"/>
      <c r="M238" s="353">
        <f t="shared" si="2"/>
        <v>1</v>
      </c>
      <c r="N238" s="405"/>
      <c r="O238" s="352"/>
    </row>
    <row r="239" spans="1:15">
      <c r="A239" s="366"/>
      <c r="B239" s="366"/>
      <c r="C239" s="367"/>
      <c r="D239" s="421" t="s">
        <v>1405</v>
      </c>
      <c r="E239" s="361"/>
      <c r="F239" s="363">
        <v>4</v>
      </c>
      <c r="G239" s="352"/>
      <c r="H239" s="353"/>
      <c r="I239" s="353"/>
      <c r="J239" s="353"/>
      <c r="K239" s="353"/>
      <c r="L239" s="353"/>
      <c r="M239" s="353">
        <f>F239</f>
        <v>4</v>
      </c>
      <c r="N239" s="405"/>
      <c r="O239" s="352"/>
    </row>
    <row r="240" spans="1:15">
      <c r="A240" s="368"/>
      <c r="B240" s="368"/>
      <c r="C240" s="369"/>
      <c r="D240" s="356"/>
      <c r="E240" s="362"/>
      <c r="F240" s="364"/>
      <c r="G240" s="359"/>
      <c r="H240" s="360"/>
      <c r="I240" s="360"/>
      <c r="J240" s="360"/>
      <c r="K240" s="360"/>
      <c r="L240" s="360"/>
      <c r="M240" s="360"/>
      <c r="N240" s="406"/>
      <c r="O240" s="359"/>
    </row>
    <row r="241" spans="1:15" customFormat="1" ht="31.5">
      <c r="A241" s="339" t="s">
        <v>1741</v>
      </c>
      <c r="B241" s="339" t="s">
        <v>2</v>
      </c>
      <c r="C241" s="340">
        <v>91951</v>
      </c>
      <c r="D241" s="436" t="s">
        <v>903</v>
      </c>
      <c r="E241" s="437" t="s">
        <v>167</v>
      </c>
      <c r="F241" s="438"/>
      <c r="G241" s="344"/>
      <c r="H241" s="345"/>
      <c r="I241" s="345"/>
      <c r="J241" s="345"/>
      <c r="K241" s="345"/>
      <c r="L241" s="345"/>
      <c r="M241" s="346">
        <f>SUM(M242:M243)</f>
        <v>49</v>
      </c>
      <c r="N241" s="408"/>
      <c r="O241" s="409"/>
    </row>
    <row r="242" spans="1:15" customFormat="1">
      <c r="A242" s="347"/>
      <c r="B242" s="347"/>
      <c r="C242" s="348"/>
      <c r="D242" s="421" t="s">
        <v>1711</v>
      </c>
      <c r="E242" s="422"/>
      <c r="F242" s="423">
        <v>49</v>
      </c>
      <c r="G242" s="352"/>
      <c r="H242" s="353"/>
      <c r="I242" s="353"/>
      <c r="J242" s="353"/>
      <c r="K242" s="353"/>
      <c r="L242" s="353"/>
      <c r="M242" s="353">
        <f>F242</f>
        <v>49</v>
      </c>
      <c r="N242" s="405"/>
      <c r="O242" s="352"/>
    </row>
    <row r="243" spans="1:15" customFormat="1">
      <c r="A243" s="354"/>
      <c r="B243" s="354"/>
      <c r="C243" s="355"/>
      <c r="D243" s="439"/>
      <c r="E243" s="440"/>
      <c r="F243" s="441"/>
      <c r="G243" s="359"/>
      <c r="H243" s="360"/>
      <c r="I243" s="360"/>
      <c r="J243" s="360"/>
      <c r="K243" s="360"/>
      <c r="L243" s="360"/>
      <c r="M243" s="360"/>
      <c r="N243" s="406"/>
      <c r="O243" s="359"/>
    </row>
    <row r="244" spans="1:15" customFormat="1" ht="31.5">
      <c r="A244" s="339" t="s">
        <v>1742</v>
      </c>
      <c r="B244" s="339" t="s">
        <v>2</v>
      </c>
      <c r="C244" s="340">
        <v>91871</v>
      </c>
      <c r="D244" s="436" t="s">
        <v>905</v>
      </c>
      <c r="E244" s="437" t="s">
        <v>180</v>
      </c>
      <c r="F244" s="438"/>
      <c r="G244" s="344"/>
      <c r="H244" s="345"/>
      <c r="I244" s="345"/>
      <c r="J244" s="345"/>
      <c r="K244" s="345"/>
      <c r="L244" s="345"/>
      <c r="M244" s="346">
        <f>SUM(M245:M249)</f>
        <v>949.30000000000007</v>
      </c>
      <c r="N244" s="408"/>
      <c r="O244" s="409"/>
    </row>
    <row r="245" spans="1:15" customFormat="1">
      <c r="A245" s="347"/>
      <c r="B245" s="347"/>
      <c r="C245" s="348"/>
      <c r="D245" s="421" t="s">
        <v>1709</v>
      </c>
      <c r="E245" s="422"/>
      <c r="F245" s="423">
        <f>366*1.1</f>
        <v>402.6</v>
      </c>
      <c r="G245" s="352"/>
      <c r="H245" s="353"/>
      <c r="I245" s="353"/>
      <c r="J245" s="353"/>
      <c r="K245" s="353"/>
      <c r="L245" s="353"/>
      <c r="M245" s="353">
        <f t="shared" ref="M245:M247" si="3">F245</f>
        <v>402.6</v>
      </c>
      <c r="N245" s="405"/>
      <c r="O245" s="352"/>
    </row>
    <row r="246" spans="1:15" customFormat="1">
      <c r="A246" s="347"/>
      <c r="B246" s="347"/>
      <c r="C246" s="348"/>
      <c r="D246" s="421" t="s">
        <v>1743</v>
      </c>
      <c r="E246" s="422"/>
      <c r="F246" s="423">
        <f>17*1.1</f>
        <v>18.700000000000003</v>
      </c>
      <c r="G246" s="352"/>
      <c r="H246" s="353"/>
      <c r="I246" s="353"/>
      <c r="J246" s="353"/>
      <c r="K246" s="353"/>
      <c r="L246" s="353"/>
      <c r="M246" s="353">
        <f t="shared" si="3"/>
        <v>18.700000000000003</v>
      </c>
      <c r="N246" s="405"/>
      <c r="O246" s="352"/>
    </row>
    <row r="247" spans="1:15" customFormat="1">
      <c r="A247" s="347"/>
      <c r="B247" s="347"/>
      <c r="C247" s="348"/>
      <c r="D247" s="421" t="s">
        <v>1711</v>
      </c>
      <c r="E247" s="422"/>
      <c r="F247" s="423">
        <f>476*1.1</f>
        <v>523.6</v>
      </c>
      <c r="G247" s="352"/>
      <c r="H247" s="353"/>
      <c r="I247" s="353"/>
      <c r="J247" s="353"/>
      <c r="K247" s="353"/>
      <c r="L247" s="353"/>
      <c r="M247" s="353">
        <f t="shared" si="3"/>
        <v>523.6</v>
      </c>
      <c r="N247" s="405"/>
      <c r="O247" s="352"/>
    </row>
    <row r="248" spans="1:15" customFormat="1">
      <c r="A248" s="347"/>
      <c r="B248" s="347"/>
      <c r="C248" s="348"/>
      <c r="D248" s="421" t="s">
        <v>1405</v>
      </c>
      <c r="E248" s="422"/>
      <c r="F248" s="423">
        <f>4*1.1</f>
        <v>4.4000000000000004</v>
      </c>
      <c r="G248" s="352"/>
      <c r="H248" s="353"/>
      <c r="I248" s="353"/>
      <c r="J248" s="353"/>
      <c r="K248" s="353"/>
      <c r="L248" s="353"/>
      <c r="M248" s="353">
        <f>F248</f>
        <v>4.4000000000000004</v>
      </c>
      <c r="N248" s="405"/>
      <c r="O248" s="352"/>
    </row>
    <row r="249" spans="1:15">
      <c r="A249" s="368"/>
      <c r="B249" s="368"/>
      <c r="C249" s="369"/>
      <c r="D249" s="356"/>
      <c r="E249" s="362"/>
      <c r="F249" s="364"/>
      <c r="G249" s="359"/>
      <c r="H249" s="360"/>
      <c r="I249" s="360"/>
      <c r="J249" s="360"/>
      <c r="K249" s="360"/>
      <c r="L249" s="360"/>
      <c r="M249" s="360"/>
      <c r="N249" s="406"/>
      <c r="O249" s="359"/>
    </row>
    <row r="250" spans="1:15" customFormat="1" ht="31.5">
      <c r="A250" s="339" t="s">
        <v>1744</v>
      </c>
      <c r="B250" s="339" t="s">
        <v>3</v>
      </c>
      <c r="C250" s="340" t="s">
        <v>359</v>
      </c>
      <c r="D250" s="436" t="s">
        <v>907</v>
      </c>
      <c r="E250" s="437" t="s">
        <v>180</v>
      </c>
      <c r="F250" s="438"/>
      <c r="G250" s="344"/>
      <c r="H250" s="345"/>
      <c r="I250" s="345"/>
      <c r="J250" s="345"/>
      <c r="K250" s="345"/>
      <c r="L250" s="345"/>
      <c r="M250" s="346">
        <f>SUM(M251:M255)</f>
        <v>516.5</v>
      </c>
      <c r="N250" s="408"/>
      <c r="O250" s="409"/>
    </row>
    <row r="251" spans="1:15" customFormat="1">
      <c r="A251" s="347"/>
      <c r="B251" s="347"/>
      <c r="C251" s="348"/>
      <c r="D251" s="421" t="s">
        <v>1709</v>
      </c>
      <c r="E251" s="422"/>
      <c r="F251" s="423">
        <f>200*1.1</f>
        <v>220.00000000000003</v>
      </c>
      <c r="G251" s="352"/>
      <c r="H251" s="353"/>
      <c r="I251" s="353"/>
      <c r="J251" s="353"/>
      <c r="K251" s="353"/>
      <c r="L251" s="353"/>
      <c r="M251" s="353">
        <f t="shared" ref="M251:M253" si="4">F251</f>
        <v>220.00000000000003</v>
      </c>
      <c r="N251" s="405"/>
      <c r="O251" s="352"/>
    </row>
    <row r="252" spans="1:15" customFormat="1">
      <c r="A252" s="347"/>
      <c r="B252" s="347"/>
      <c r="C252" s="348"/>
      <c r="D252" s="421" t="s">
        <v>1743</v>
      </c>
      <c r="E252" s="422"/>
      <c r="F252" s="423">
        <f>75*1.1</f>
        <v>82.5</v>
      </c>
      <c r="G252" s="352"/>
      <c r="H252" s="353"/>
      <c r="I252" s="353"/>
      <c r="J252" s="353"/>
      <c r="K252" s="353"/>
      <c r="L252" s="353"/>
      <c r="M252" s="353">
        <f t="shared" si="4"/>
        <v>82.5</v>
      </c>
      <c r="N252" s="405"/>
      <c r="O252" s="352"/>
    </row>
    <row r="253" spans="1:15" customFormat="1">
      <c r="A253" s="347"/>
      <c r="B253" s="347"/>
      <c r="C253" s="348"/>
      <c r="D253" s="421" t="s">
        <v>1711</v>
      </c>
      <c r="E253" s="422"/>
      <c r="F253" s="423">
        <f>180*1.1</f>
        <v>198.00000000000003</v>
      </c>
      <c r="G253" s="352"/>
      <c r="H253" s="353"/>
      <c r="I253" s="353"/>
      <c r="J253" s="353"/>
      <c r="K253" s="353"/>
      <c r="L253" s="353"/>
      <c r="M253" s="353">
        <f t="shared" si="4"/>
        <v>198.00000000000003</v>
      </c>
      <c r="N253" s="405"/>
      <c r="O253" s="352"/>
    </row>
    <row r="254" spans="1:15" customFormat="1">
      <c r="A254" s="347"/>
      <c r="B254" s="347"/>
      <c r="C254" s="348"/>
      <c r="D254" s="421" t="s">
        <v>1405</v>
      </c>
      <c r="E254" s="422"/>
      <c r="F254" s="423">
        <v>16</v>
      </c>
      <c r="G254" s="352"/>
      <c r="H254" s="353"/>
      <c r="I254" s="353"/>
      <c r="J254" s="353"/>
      <c r="K254" s="353"/>
      <c r="L254" s="353"/>
      <c r="M254" s="353">
        <f>F254</f>
        <v>16</v>
      </c>
      <c r="N254" s="405"/>
      <c r="O254" s="352"/>
    </row>
    <row r="255" spans="1:15">
      <c r="A255" s="368"/>
      <c r="B255" s="368"/>
      <c r="C255" s="369"/>
      <c r="D255" s="356"/>
      <c r="E255" s="362"/>
      <c r="F255" s="364"/>
      <c r="G255" s="359"/>
      <c r="H255" s="360"/>
      <c r="I255" s="360"/>
      <c r="J255" s="360"/>
      <c r="K255" s="360"/>
      <c r="L255" s="360"/>
      <c r="M255" s="360"/>
      <c r="N255" s="406"/>
      <c r="O255" s="359"/>
    </row>
    <row r="256" spans="1:15" customFormat="1" ht="31.5">
      <c r="A256" s="339" t="s">
        <v>1745</v>
      </c>
      <c r="B256" s="339" t="s">
        <v>3</v>
      </c>
      <c r="C256" s="340" t="s">
        <v>214</v>
      </c>
      <c r="D256" s="436" t="s">
        <v>215</v>
      </c>
      <c r="E256" s="437" t="s">
        <v>180</v>
      </c>
      <c r="F256" s="438"/>
      <c r="G256" s="344"/>
      <c r="H256" s="345"/>
      <c r="I256" s="345"/>
      <c r="J256" s="345"/>
      <c r="K256" s="345"/>
      <c r="L256" s="345"/>
      <c r="M256" s="346">
        <f>SUM(M257:M258)</f>
        <v>64</v>
      </c>
      <c r="N256" s="408"/>
      <c r="O256" s="409"/>
    </row>
    <row r="257" spans="1:15" customFormat="1">
      <c r="A257" s="347"/>
      <c r="B257" s="347"/>
      <c r="C257" s="348"/>
      <c r="D257" s="421" t="s">
        <v>1405</v>
      </c>
      <c r="E257" s="422"/>
      <c r="F257" s="423">
        <v>64</v>
      </c>
      <c r="G257" s="352"/>
      <c r="H257" s="353"/>
      <c r="I257" s="353"/>
      <c r="J257" s="353"/>
      <c r="K257" s="353"/>
      <c r="L257" s="353"/>
      <c r="M257" s="353">
        <f>F257</f>
        <v>64</v>
      </c>
      <c r="N257" s="405"/>
      <c r="O257" s="352"/>
    </row>
    <row r="258" spans="1:15" customFormat="1">
      <c r="A258" s="354"/>
      <c r="B258" s="354"/>
      <c r="C258" s="355"/>
      <c r="D258" s="439"/>
      <c r="E258" s="440"/>
      <c r="F258" s="441"/>
      <c r="G258" s="359"/>
      <c r="H258" s="360"/>
      <c r="I258" s="360"/>
      <c r="J258" s="360"/>
      <c r="K258" s="360"/>
      <c r="L258" s="360"/>
      <c r="M258" s="360"/>
      <c r="N258" s="406"/>
      <c r="O258" s="359"/>
    </row>
    <row r="259" spans="1:15" customFormat="1" ht="31.5">
      <c r="A259" s="339" t="s">
        <v>1746</v>
      </c>
      <c r="B259" s="339" t="s">
        <v>3</v>
      </c>
      <c r="C259" s="340" t="s">
        <v>362</v>
      </c>
      <c r="D259" s="436" t="s">
        <v>910</v>
      </c>
      <c r="E259" s="437" t="s">
        <v>180</v>
      </c>
      <c r="F259" s="438"/>
      <c r="G259" s="344"/>
      <c r="H259" s="345"/>
      <c r="I259" s="345"/>
      <c r="J259" s="345"/>
      <c r="K259" s="345"/>
      <c r="L259" s="345"/>
      <c r="M259" s="346">
        <f>SUM(M260:M261)</f>
        <v>178</v>
      </c>
      <c r="N259" s="408"/>
      <c r="O259" s="409"/>
    </row>
    <row r="260" spans="1:15" customFormat="1">
      <c r="A260" s="347"/>
      <c r="B260" s="347"/>
      <c r="C260" s="348"/>
      <c r="D260" s="421" t="s">
        <v>1405</v>
      </c>
      <c r="E260" s="422"/>
      <c r="F260" s="423">
        <v>178</v>
      </c>
      <c r="G260" s="352"/>
      <c r="H260" s="353"/>
      <c r="I260" s="353"/>
      <c r="J260" s="353"/>
      <c r="K260" s="353"/>
      <c r="L260" s="353"/>
      <c r="M260" s="353">
        <f>F260</f>
        <v>178</v>
      </c>
      <c r="N260" s="405"/>
      <c r="O260" s="352"/>
    </row>
    <row r="261" spans="1:15" customFormat="1">
      <c r="A261" s="354"/>
      <c r="B261" s="354"/>
      <c r="C261" s="355"/>
      <c r="D261" s="439"/>
      <c r="E261" s="440"/>
      <c r="F261" s="441"/>
      <c r="G261" s="359"/>
      <c r="H261" s="360"/>
      <c r="I261" s="360"/>
      <c r="J261" s="360"/>
      <c r="K261" s="360"/>
      <c r="L261" s="360"/>
      <c r="M261" s="360"/>
      <c r="N261" s="406"/>
      <c r="O261" s="359"/>
    </row>
    <row r="262" spans="1:15" customFormat="1" ht="31.5">
      <c r="A262" s="339" t="s">
        <v>1747</v>
      </c>
      <c r="B262" s="339" t="s">
        <v>3</v>
      </c>
      <c r="C262" s="340" t="s">
        <v>912</v>
      </c>
      <c r="D262" s="436" t="s">
        <v>913</v>
      </c>
      <c r="E262" s="437" t="s">
        <v>167</v>
      </c>
      <c r="F262" s="438"/>
      <c r="G262" s="344"/>
      <c r="H262" s="345"/>
      <c r="I262" s="345"/>
      <c r="J262" s="345"/>
      <c r="K262" s="345"/>
      <c r="L262" s="345"/>
      <c r="M262" s="346">
        <f>SUM(M263:M264)</f>
        <v>13</v>
      </c>
      <c r="N262" s="408"/>
      <c r="O262" s="409"/>
    </row>
    <row r="263" spans="1:15" customFormat="1">
      <c r="A263" s="347"/>
      <c r="B263" s="347"/>
      <c r="C263" s="348"/>
      <c r="D263" s="421" t="s">
        <v>1709</v>
      </c>
      <c r="E263" s="422"/>
      <c r="F263" s="423">
        <f>6+7</f>
        <v>13</v>
      </c>
      <c r="G263" s="352"/>
      <c r="H263" s="353"/>
      <c r="I263" s="353"/>
      <c r="J263" s="353"/>
      <c r="K263" s="353"/>
      <c r="L263" s="353"/>
      <c r="M263" s="353">
        <f>F263</f>
        <v>13</v>
      </c>
      <c r="N263" s="405"/>
      <c r="O263" s="352"/>
    </row>
    <row r="264" spans="1:15" customFormat="1">
      <c r="A264" s="354"/>
      <c r="B264" s="354"/>
      <c r="C264" s="355"/>
      <c r="D264" s="439"/>
      <c r="E264" s="440"/>
      <c r="F264" s="441"/>
      <c r="G264" s="359"/>
      <c r="H264" s="360"/>
      <c r="I264" s="360"/>
      <c r="J264" s="360"/>
      <c r="K264" s="360"/>
      <c r="L264" s="360"/>
      <c r="M264" s="360"/>
      <c r="N264" s="406"/>
      <c r="O264" s="359"/>
    </row>
    <row r="265" spans="1:15" customFormat="1" ht="31.5">
      <c r="A265" s="339" t="s">
        <v>1748</v>
      </c>
      <c r="B265" s="339" t="s">
        <v>3</v>
      </c>
      <c r="C265" s="340" t="s">
        <v>915</v>
      </c>
      <c r="D265" s="436" t="s">
        <v>916</v>
      </c>
      <c r="E265" s="437" t="s">
        <v>167</v>
      </c>
      <c r="F265" s="438"/>
      <c r="G265" s="344"/>
      <c r="H265" s="345"/>
      <c r="I265" s="345"/>
      <c r="J265" s="345"/>
      <c r="K265" s="345"/>
      <c r="L265" s="345"/>
      <c r="M265" s="346">
        <f>SUM(M266:M267)</f>
        <v>32</v>
      </c>
      <c r="N265" s="408"/>
      <c r="O265" s="409"/>
    </row>
    <row r="266" spans="1:15" customFormat="1">
      <c r="A266" s="347"/>
      <c r="B266" s="347"/>
      <c r="C266" s="348"/>
      <c r="D266" s="421" t="s">
        <v>1709</v>
      </c>
      <c r="E266" s="422"/>
      <c r="F266" s="423">
        <v>32</v>
      </c>
      <c r="G266" s="352"/>
      <c r="H266" s="353"/>
      <c r="I266" s="353"/>
      <c r="J266" s="353"/>
      <c r="K266" s="353"/>
      <c r="L266" s="353"/>
      <c r="M266" s="353">
        <f>F266</f>
        <v>32</v>
      </c>
      <c r="N266" s="405"/>
      <c r="O266" s="352"/>
    </row>
    <row r="267" spans="1:15" customFormat="1">
      <c r="A267" s="354"/>
      <c r="B267" s="354"/>
      <c r="C267" s="355"/>
      <c r="D267" s="439"/>
      <c r="E267" s="440"/>
      <c r="F267" s="441"/>
      <c r="G267" s="359"/>
      <c r="H267" s="360"/>
      <c r="I267" s="360"/>
      <c r="J267" s="360"/>
      <c r="K267" s="360"/>
      <c r="L267" s="360"/>
      <c r="M267" s="360"/>
      <c r="N267" s="406"/>
      <c r="O267" s="359"/>
    </row>
    <row r="268" spans="1:15" customFormat="1" ht="31.5">
      <c r="A268" s="339" t="s">
        <v>1749</v>
      </c>
      <c r="B268" s="339" t="s">
        <v>3</v>
      </c>
      <c r="C268" s="340" t="s">
        <v>918</v>
      </c>
      <c r="D268" s="436" t="s">
        <v>919</v>
      </c>
      <c r="E268" s="437" t="s">
        <v>167</v>
      </c>
      <c r="F268" s="438"/>
      <c r="G268" s="344"/>
      <c r="H268" s="345"/>
      <c r="I268" s="345"/>
      <c r="J268" s="345"/>
      <c r="K268" s="345"/>
      <c r="L268" s="345"/>
      <c r="M268" s="346">
        <f>SUM(M269:M271)</f>
        <v>5</v>
      </c>
      <c r="N268" s="408"/>
      <c r="O268" s="409"/>
    </row>
    <row r="269" spans="1:15" customFormat="1">
      <c r="A269" s="347"/>
      <c r="B269" s="347"/>
      <c r="C269" s="348"/>
      <c r="D269" s="421" t="s">
        <v>1711</v>
      </c>
      <c r="E269" s="422"/>
      <c r="F269" s="423">
        <v>3</v>
      </c>
      <c r="G269" s="352"/>
      <c r="H269" s="353"/>
      <c r="I269" s="353"/>
      <c r="J269" s="353"/>
      <c r="K269" s="353"/>
      <c r="L269" s="353"/>
      <c r="M269" s="353">
        <f>F269</f>
        <v>3</v>
      </c>
      <c r="N269" s="405"/>
      <c r="O269" s="352"/>
    </row>
    <row r="270" spans="1:15" customFormat="1">
      <c r="A270" s="347"/>
      <c r="B270" s="347"/>
      <c r="C270" s="348"/>
      <c r="D270" s="421" t="s">
        <v>1710</v>
      </c>
      <c r="E270" s="422"/>
      <c r="F270" s="423">
        <v>2</v>
      </c>
      <c r="G270" s="352"/>
      <c r="H270" s="353"/>
      <c r="I270" s="353"/>
      <c r="J270" s="353"/>
      <c r="K270" s="353"/>
      <c r="L270" s="353"/>
      <c r="M270" s="353">
        <f>F270</f>
        <v>2</v>
      </c>
      <c r="N270" s="405"/>
      <c r="O270" s="352"/>
    </row>
    <row r="271" spans="1:15">
      <c r="A271" s="368"/>
      <c r="B271" s="368"/>
      <c r="C271" s="369"/>
      <c r="D271" s="356"/>
      <c r="E271" s="362"/>
      <c r="F271" s="364"/>
      <c r="G271" s="359"/>
      <c r="H271" s="360"/>
      <c r="I271" s="360"/>
      <c r="J271" s="360"/>
      <c r="K271" s="360"/>
      <c r="L271" s="360"/>
      <c r="M271" s="360"/>
      <c r="N271" s="406"/>
      <c r="O271" s="359"/>
    </row>
    <row r="272" spans="1:15" customFormat="1" ht="31.5">
      <c r="A272" s="339" t="s">
        <v>1750</v>
      </c>
      <c r="B272" s="339" t="s">
        <v>3</v>
      </c>
      <c r="C272" s="340" t="s">
        <v>226</v>
      </c>
      <c r="D272" s="436" t="s">
        <v>227</v>
      </c>
      <c r="E272" s="437" t="s">
        <v>167</v>
      </c>
      <c r="F272" s="438"/>
      <c r="G272" s="344"/>
      <c r="H272" s="345"/>
      <c r="I272" s="345"/>
      <c r="J272" s="345"/>
      <c r="K272" s="345"/>
      <c r="L272" s="345"/>
      <c r="M272" s="346">
        <f>SUM(M273:M276)</f>
        <v>101</v>
      </c>
      <c r="N272" s="408"/>
      <c r="O272" s="409"/>
    </row>
    <row r="273" spans="1:15" customFormat="1">
      <c r="A273" s="347"/>
      <c r="B273" s="347"/>
      <c r="C273" s="348"/>
      <c r="D273" s="421" t="s">
        <v>1709</v>
      </c>
      <c r="E273" s="422"/>
      <c r="F273" s="423">
        <f>18+4</f>
        <v>22</v>
      </c>
      <c r="G273" s="352"/>
      <c r="H273" s="353"/>
      <c r="I273" s="353"/>
      <c r="J273" s="353"/>
      <c r="K273" s="353"/>
      <c r="L273" s="353"/>
      <c r="M273" s="353">
        <f t="shared" ref="M273:M274" si="5">F273</f>
        <v>22</v>
      </c>
      <c r="N273" s="405"/>
      <c r="O273" s="352"/>
    </row>
    <row r="274" spans="1:15" customFormat="1">
      <c r="A274" s="347"/>
      <c r="B274" s="347"/>
      <c r="C274" s="348"/>
      <c r="D274" s="421" t="s">
        <v>1710</v>
      </c>
      <c r="E274" s="422"/>
      <c r="F274" s="423">
        <v>3</v>
      </c>
      <c r="G274" s="352"/>
      <c r="H274" s="353"/>
      <c r="I274" s="353"/>
      <c r="J274" s="353"/>
      <c r="K274" s="353"/>
      <c r="L274" s="353"/>
      <c r="M274" s="353">
        <f t="shared" si="5"/>
        <v>3</v>
      </c>
      <c r="N274" s="405"/>
      <c r="O274" s="352"/>
    </row>
    <row r="275" spans="1:15" customFormat="1">
      <c r="A275" s="347"/>
      <c r="B275" s="347"/>
      <c r="C275" s="348"/>
      <c r="D275" s="421" t="s">
        <v>1711</v>
      </c>
      <c r="E275" s="422"/>
      <c r="F275" s="423">
        <v>76</v>
      </c>
      <c r="G275" s="352"/>
      <c r="H275" s="353"/>
      <c r="I275" s="353"/>
      <c r="J275" s="353"/>
      <c r="K275" s="353"/>
      <c r="L275" s="353"/>
      <c r="M275" s="353">
        <f>F275</f>
        <v>76</v>
      </c>
      <c r="N275" s="405"/>
      <c r="O275" s="352"/>
    </row>
    <row r="276" spans="1:15">
      <c r="A276" s="368"/>
      <c r="B276" s="368"/>
      <c r="C276" s="369"/>
      <c r="D276" s="356"/>
      <c r="E276" s="362"/>
      <c r="F276" s="364"/>
      <c r="G276" s="359"/>
      <c r="H276" s="360"/>
      <c r="I276" s="360"/>
      <c r="J276" s="360"/>
      <c r="K276" s="360"/>
      <c r="L276" s="360"/>
      <c r="M276" s="360"/>
      <c r="N276" s="406"/>
      <c r="O276" s="359"/>
    </row>
    <row r="277" spans="1:15" customFormat="1" ht="31.5">
      <c r="A277" s="339" t="s">
        <v>1751</v>
      </c>
      <c r="B277" s="339" t="s">
        <v>3</v>
      </c>
      <c r="C277" s="340" t="s">
        <v>229</v>
      </c>
      <c r="D277" s="436" t="s">
        <v>230</v>
      </c>
      <c r="E277" s="437" t="s">
        <v>167</v>
      </c>
      <c r="F277" s="438"/>
      <c r="G277" s="344"/>
      <c r="H277" s="345"/>
      <c r="I277" s="345"/>
      <c r="J277" s="345"/>
      <c r="K277" s="345"/>
      <c r="L277" s="345"/>
      <c r="M277" s="346">
        <f>SUM(M278:M282)</f>
        <v>91</v>
      </c>
      <c r="N277" s="408"/>
      <c r="O277" s="409"/>
    </row>
    <row r="278" spans="1:15" customFormat="1">
      <c r="A278" s="347"/>
      <c r="B278" s="347"/>
      <c r="C278" s="348"/>
      <c r="D278" s="421" t="s">
        <v>1709</v>
      </c>
      <c r="E278" s="422"/>
      <c r="F278" s="423">
        <f>26+3</f>
        <v>29</v>
      </c>
      <c r="G278" s="352"/>
      <c r="H278" s="353"/>
      <c r="I278" s="353"/>
      <c r="J278" s="353"/>
      <c r="K278" s="353"/>
      <c r="L278" s="353"/>
      <c r="M278" s="353">
        <f t="shared" ref="M278:M280" si="6">F278</f>
        <v>29</v>
      </c>
      <c r="N278" s="405"/>
      <c r="O278" s="352"/>
    </row>
    <row r="279" spans="1:15" customFormat="1">
      <c r="A279" s="347"/>
      <c r="B279" s="347"/>
      <c r="C279" s="348"/>
      <c r="D279" s="421" t="s">
        <v>1710</v>
      </c>
      <c r="E279" s="422"/>
      <c r="F279" s="423">
        <v>2</v>
      </c>
      <c r="G279" s="352"/>
      <c r="H279" s="353"/>
      <c r="I279" s="353"/>
      <c r="J279" s="353"/>
      <c r="K279" s="353"/>
      <c r="L279" s="353"/>
      <c r="M279" s="353">
        <f t="shared" si="6"/>
        <v>2</v>
      </c>
      <c r="N279" s="405"/>
      <c r="O279" s="352"/>
    </row>
    <row r="280" spans="1:15" customFormat="1">
      <c r="A280" s="347"/>
      <c r="B280" s="347"/>
      <c r="C280" s="348"/>
      <c r="D280" s="421" t="s">
        <v>1711</v>
      </c>
      <c r="E280" s="422"/>
      <c r="F280" s="423">
        <v>59</v>
      </c>
      <c r="G280" s="352"/>
      <c r="H280" s="353"/>
      <c r="I280" s="353"/>
      <c r="J280" s="353"/>
      <c r="K280" s="353"/>
      <c r="L280" s="353"/>
      <c r="M280" s="353">
        <f t="shared" si="6"/>
        <v>59</v>
      </c>
      <c r="N280" s="405"/>
      <c r="O280" s="352"/>
    </row>
    <row r="281" spans="1:15" customFormat="1">
      <c r="A281" s="347"/>
      <c r="B281" s="347"/>
      <c r="C281" s="348"/>
      <c r="D281" s="421" t="s">
        <v>1405</v>
      </c>
      <c r="E281" s="422"/>
      <c r="F281" s="423">
        <v>1</v>
      </c>
      <c r="G281" s="352"/>
      <c r="H281" s="353"/>
      <c r="I281" s="353"/>
      <c r="J281" s="353"/>
      <c r="K281" s="353"/>
      <c r="L281" s="353"/>
      <c r="M281" s="353">
        <f>F281</f>
        <v>1</v>
      </c>
      <c r="N281" s="405"/>
      <c r="O281" s="352"/>
    </row>
    <row r="282" spans="1:15">
      <c r="A282" s="368"/>
      <c r="B282" s="368"/>
      <c r="C282" s="369"/>
      <c r="D282" s="356"/>
      <c r="E282" s="362"/>
      <c r="F282" s="364"/>
      <c r="G282" s="359"/>
      <c r="H282" s="360"/>
      <c r="I282" s="360"/>
      <c r="J282" s="360"/>
      <c r="K282" s="360"/>
      <c r="L282" s="360"/>
      <c r="M282" s="360"/>
      <c r="N282" s="406"/>
      <c r="O282" s="359"/>
    </row>
    <row r="283" spans="1:15" customFormat="1" ht="31.5">
      <c r="A283" s="339" t="s">
        <v>1752</v>
      </c>
      <c r="B283" s="339" t="s">
        <v>3</v>
      </c>
      <c r="C283" s="340" t="s">
        <v>232</v>
      </c>
      <c r="D283" s="436" t="s">
        <v>233</v>
      </c>
      <c r="E283" s="437" t="s">
        <v>167</v>
      </c>
      <c r="F283" s="438"/>
      <c r="G283" s="344"/>
      <c r="H283" s="345"/>
      <c r="I283" s="345"/>
      <c r="J283" s="345"/>
      <c r="K283" s="345"/>
      <c r="L283" s="345"/>
      <c r="M283" s="346">
        <f>SUM(M284:M288)</f>
        <v>64</v>
      </c>
      <c r="N283" s="408"/>
      <c r="O283" s="409"/>
    </row>
    <row r="284" spans="1:15" customFormat="1">
      <c r="A284" s="347"/>
      <c r="B284" s="347"/>
      <c r="C284" s="348"/>
      <c r="D284" s="421" t="s">
        <v>1709</v>
      </c>
      <c r="E284" s="422"/>
      <c r="F284" s="423">
        <f>34+2</f>
        <v>36</v>
      </c>
      <c r="G284" s="352"/>
      <c r="H284" s="353"/>
      <c r="I284" s="353"/>
      <c r="J284" s="353"/>
      <c r="K284" s="353"/>
      <c r="L284" s="353"/>
      <c r="M284" s="353">
        <f t="shared" ref="M284:M286" si="7">F284</f>
        <v>36</v>
      </c>
      <c r="N284" s="405"/>
      <c r="O284" s="352"/>
    </row>
    <row r="285" spans="1:15" customFormat="1">
      <c r="A285" s="347"/>
      <c r="B285" s="347"/>
      <c r="C285" s="348"/>
      <c r="D285" s="421" t="s">
        <v>1710</v>
      </c>
      <c r="E285" s="422"/>
      <c r="F285" s="423">
        <v>16</v>
      </c>
      <c r="G285" s="352"/>
      <c r="H285" s="353"/>
      <c r="I285" s="353"/>
      <c r="J285" s="353"/>
      <c r="K285" s="353"/>
      <c r="L285" s="353"/>
      <c r="M285" s="353">
        <f t="shared" si="7"/>
        <v>16</v>
      </c>
      <c r="N285" s="405"/>
      <c r="O285" s="352"/>
    </row>
    <row r="286" spans="1:15" customFormat="1">
      <c r="A286" s="347"/>
      <c r="B286" s="347"/>
      <c r="C286" s="348"/>
      <c r="D286" s="421" t="s">
        <v>1711</v>
      </c>
      <c r="E286" s="422"/>
      <c r="F286" s="423">
        <v>10</v>
      </c>
      <c r="G286" s="352"/>
      <c r="H286" s="353"/>
      <c r="I286" s="353"/>
      <c r="J286" s="353"/>
      <c r="K286" s="353"/>
      <c r="L286" s="353"/>
      <c r="M286" s="353">
        <f t="shared" si="7"/>
        <v>10</v>
      </c>
      <c r="N286" s="405"/>
      <c r="O286" s="352"/>
    </row>
    <row r="287" spans="1:15" customFormat="1">
      <c r="A287" s="347"/>
      <c r="B287" s="347"/>
      <c r="C287" s="348"/>
      <c r="D287" s="421" t="s">
        <v>1405</v>
      </c>
      <c r="E287" s="422"/>
      <c r="F287" s="423">
        <v>2</v>
      </c>
      <c r="G287" s="352"/>
      <c r="H287" s="353"/>
      <c r="I287" s="353"/>
      <c r="J287" s="353"/>
      <c r="K287" s="353"/>
      <c r="L287" s="353"/>
      <c r="M287" s="353">
        <f>F287</f>
        <v>2</v>
      </c>
      <c r="N287" s="405"/>
      <c r="O287" s="352"/>
    </row>
    <row r="288" spans="1:15">
      <c r="A288" s="368"/>
      <c r="B288" s="368"/>
      <c r="C288" s="369"/>
      <c r="D288" s="356"/>
      <c r="E288" s="362"/>
      <c r="F288" s="364"/>
      <c r="G288" s="359"/>
      <c r="H288" s="360"/>
      <c r="I288" s="360"/>
      <c r="J288" s="360"/>
      <c r="K288" s="360"/>
      <c r="L288" s="360"/>
      <c r="M288" s="360"/>
      <c r="N288" s="406"/>
      <c r="O288" s="359"/>
    </row>
    <row r="289" spans="1:15" customFormat="1" ht="31.5">
      <c r="A289" s="339" t="s">
        <v>1753</v>
      </c>
      <c r="B289" s="339" t="s">
        <v>3</v>
      </c>
      <c r="C289" s="340" t="s">
        <v>924</v>
      </c>
      <c r="D289" s="436" t="s">
        <v>925</v>
      </c>
      <c r="E289" s="437" t="s">
        <v>167</v>
      </c>
      <c r="F289" s="438"/>
      <c r="G289" s="344"/>
      <c r="H289" s="345"/>
      <c r="I289" s="345"/>
      <c r="J289" s="345"/>
      <c r="K289" s="345"/>
      <c r="L289" s="345"/>
      <c r="M289" s="346">
        <f>SUM(M290:M291)</f>
        <v>1</v>
      </c>
      <c r="N289" s="408"/>
      <c r="O289" s="409"/>
    </row>
    <row r="290" spans="1:15" customFormat="1">
      <c r="A290" s="347"/>
      <c r="B290" s="347"/>
      <c r="C290" s="348"/>
      <c r="D290" s="421" t="s">
        <v>1709</v>
      </c>
      <c r="E290" s="422"/>
      <c r="F290" s="423">
        <v>1</v>
      </c>
      <c r="G290" s="352"/>
      <c r="H290" s="353"/>
      <c r="I290" s="353"/>
      <c r="J290" s="353"/>
      <c r="K290" s="353"/>
      <c r="L290" s="353"/>
      <c r="M290" s="353">
        <f>F290</f>
        <v>1</v>
      </c>
      <c r="N290" s="405"/>
      <c r="O290" s="352"/>
    </row>
    <row r="291" spans="1:15" customFormat="1">
      <c r="A291" s="354"/>
      <c r="B291" s="354"/>
      <c r="C291" s="355"/>
      <c r="D291" s="439"/>
      <c r="E291" s="440"/>
      <c r="F291" s="441"/>
      <c r="G291" s="359"/>
      <c r="H291" s="360"/>
      <c r="I291" s="360"/>
      <c r="J291" s="360"/>
      <c r="K291" s="360"/>
      <c r="L291" s="360"/>
      <c r="M291" s="360"/>
      <c r="N291" s="406"/>
      <c r="O291" s="359"/>
    </row>
    <row r="292" spans="1:15" customFormat="1" ht="47.25">
      <c r="A292" s="339" t="s">
        <v>1754</v>
      </c>
      <c r="B292" s="339" t="s">
        <v>3</v>
      </c>
      <c r="C292" s="340" t="s">
        <v>927</v>
      </c>
      <c r="D292" s="436" t="s">
        <v>928</v>
      </c>
      <c r="E292" s="437" t="s">
        <v>167</v>
      </c>
      <c r="F292" s="438"/>
      <c r="G292" s="344"/>
      <c r="H292" s="345"/>
      <c r="I292" s="345"/>
      <c r="J292" s="345"/>
      <c r="K292" s="345"/>
      <c r="L292" s="345"/>
      <c r="M292" s="346">
        <f>SUM(M293:M294)</f>
        <v>51</v>
      </c>
      <c r="N292" s="408"/>
      <c r="O292" s="409"/>
    </row>
    <row r="293" spans="1:15" customFormat="1">
      <c r="A293" s="347"/>
      <c r="B293" s="347"/>
      <c r="C293" s="348"/>
      <c r="D293" s="421" t="s">
        <v>1709</v>
      </c>
      <c r="E293" s="422"/>
      <c r="F293" s="423">
        <f>3+48</f>
        <v>51</v>
      </c>
      <c r="G293" s="352"/>
      <c r="H293" s="353"/>
      <c r="I293" s="353"/>
      <c r="J293" s="353"/>
      <c r="K293" s="353"/>
      <c r="L293" s="353"/>
      <c r="M293" s="353">
        <f>F293</f>
        <v>51</v>
      </c>
      <c r="N293" s="405"/>
      <c r="O293" s="352"/>
    </row>
    <row r="294" spans="1:15" customFormat="1">
      <c r="A294" s="354"/>
      <c r="B294" s="354"/>
      <c r="C294" s="355"/>
      <c r="D294" s="439"/>
      <c r="E294" s="440"/>
      <c r="F294" s="441"/>
      <c r="G294" s="359"/>
      <c r="H294" s="360"/>
      <c r="I294" s="360"/>
      <c r="J294" s="360"/>
      <c r="K294" s="360"/>
      <c r="L294" s="360"/>
      <c r="M294" s="360"/>
      <c r="N294" s="406"/>
      <c r="O294" s="359"/>
    </row>
    <row r="295" spans="1:15" customFormat="1">
      <c r="A295" s="339" t="s">
        <v>1755</v>
      </c>
      <c r="B295" s="339" t="s">
        <v>3</v>
      </c>
      <c r="C295" s="340" t="s">
        <v>930</v>
      </c>
      <c r="D295" s="436" t="s">
        <v>931</v>
      </c>
      <c r="E295" s="437" t="s">
        <v>167</v>
      </c>
      <c r="F295" s="438"/>
      <c r="G295" s="344"/>
      <c r="H295" s="345"/>
      <c r="I295" s="345"/>
      <c r="J295" s="345"/>
      <c r="K295" s="345"/>
      <c r="L295" s="345"/>
      <c r="M295" s="346">
        <f>SUM(M296:M299)</f>
        <v>244</v>
      </c>
      <c r="N295" s="408"/>
      <c r="O295" s="409"/>
    </row>
    <row r="296" spans="1:15" customFormat="1">
      <c r="A296" s="347"/>
      <c r="B296" s="347"/>
      <c r="C296" s="348"/>
      <c r="D296" s="421" t="s">
        <v>1709</v>
      </c>
      <c r="E296" s="422"/>
      <c r="F296" s="423">
        <f>82</f>
        <v>82</v>
      </c>
      <c r="G296" s="352"/>
      <c r="H296" s="353"/>
      <c r="I296" s="353"/>
      <c r="J296" s="353"/>
      <c r="K296" s="353"/>
      <c r="L296" s="353"/>
      <c r="M296" s="353">
        <f t="shared" ref="M296:M297" si="8">F296</f>
        <v>82</v>
      </c>
      <c r="N296" s="405"/>
      <c r="O296" s="352"/>
    </row>
    <row r="297" spans="1:15" customFormat="1">
      <c r="A297" s="347"/>
      <c r="B297" s="347"/>
      <c r="C297" s="348"/>
      <c r="D297" s="421" t="s">
        <v>1710</v>
      </c>
      <c r="E297" s="422"/>
      <c r="F297" s="423">
        <v>17</v>
      </c>
      <c r="G297" s="352"/>
      <c r="H297" s="353"/>
      <c r="I297" s="353"/>
      <c r="J297" s="353"/>
      <c r="K297" s="353"/>
      <c r="L297" s="353"/>
      <c r="M297" s="353">
        <f t="shared" si="8"/>
        <v>17</v>
      </c>
      <c r="N297" s="405"/>
      <c r="O297" s="352"/>
    </row>
    <row r="298" spans="1:15" customFormat="1">
      <c r="A298" s="347"/>
      <c r="B298" s="347"/>
      <c r="C298" s="348"/>
      <c r="D298" s="421" t="s">
        <v>1711</v>
      </c>
      <c r="E298" s="422"/>
      <c r="F298" s="423">
        <v>145</v>
      </c>
      <c r="G298" s="352"/>
      <c r="H298" s="353"/>
      <c r="I298" s="353"/>
      <c r="J298" s="353"/>
      <c r="K298" s="353"/>
      <c r="L298" s="353"/>
      <c r="M298" s="353">
        <f>F298</f>
        <v>145</v>
      </c>
      <c r="N298" s="405"/>
      <c r="O298" s="352"/>
    </row>
    <row r="299" spans="1:15">
      <c r="A299" s="368"/>
      <c r="B299" s="368"/>
      <c r="C299" s="369"/>
      <c r="D299" s="356"/>
      <c r="E299" s="362"/>
      <c r="F299" s="364"/>
      <c r="G299" s="359"/>
      <c r="H299" s="360"/>
      <c r="I299" s="360"/>
      <c r="J299" s="360"/>
      <c r="K299" s="360"/>
      <c r="L299" s="360"/>
      <c r="M299" s="360"/>
      <c r="N299" s="406"/>
      <c r="O299" s="359"/>
    </row>
    <row r="300" spans="1:15" customFormat="1" ht="47.25">
      <c r="A300" s="339" t="s">
        <v>1756</v>
      </c>
      <c r="B300" s="339" t="s">
        <v>3</v>
      </c>
      <c r="C300" s="340" t="s">
        <v>933</v>
      </c>
      <c r="D300" s="436" t="s">
        <v>934</v>
      </c>
      <c r="E300" s="437" t="s">
        <v>180</v>
      </c>
      <c r="F300" s="438"/>
      <c r="G300" s="344"/>
      <c r="H300" s="345"/>
      <c r="I300" s="345"/>
      <c r="J300" s="345"/>
      <c r="K300" s="345"/>
      <c r="L300" s="345"/>
      <c r="M300" s="346">
        <f>SUM(M301:M302)</f>
        <v>208</v>
      </c>
      <c r="N300" s="408"/>
      <c r="O300" s="409"/>
    </row>
    <row r="301" spans="1:15" customFormat="1">
      <c r="A301" s="347"/>
      <c r="B301" s="347"/>
      <c r="C301" s="348"/>
      <c r="D301" s="421" t="s">
        <v>1405</v>
      </c>
      <c r="E301" s="422"/>
      <c r="F301" s="423">
        <v>208</v>
      </c>
      <c r="G301" s="352"/>
      <c r="H301" s="353"/>
      <c r="I301" s="353"/>
      <c r="J301" s="353"/>
      <c r="K301" s="353"/>
      <c r="L301" s="353"/>
      <c r="M301" s="353">
        <f>F301</f>
        <v>208</v>
      </c>
      <c r="N301" s="405"/>
      <c r="O301" s="352"/>
    </row>
    <row r="302" spans="1:15" customFormat="1">
      <c r="A302" s="354"/>
      <c r="B302" s="354"/>
      <c r="C302" s="355"/>
      <c r="D302" s="439"/>
      <c r="E302" s="440"/>
      <c r="F302" s="441"/>
      <c r="G302" s="359"/>
      <c r="H302" s="360"/>
      <c r="I302" s="360"/>
      <c r="J302" s="360"/>
      <c r="K302" s="360"/>
      <c r="L302" s="360"/>
      <c r="M302" s="360"/>
      <c r="N302" s="406"/>
      <c r="O302" s="359"/>
    </row>
    <row r="303" spans="1:15" customFormat="1" ht="31.5">
      <c r="A303" s="339" t="s">
        <v>1757</v>
      </c>
      <c r="B303" s="339" t="s">
        <v>3</v>
      </c>
      <c r="C303" s="340" t="s">
        <v>368</v>
      </c>
      <c r="D303" s="436" t="s">
        <v>369</v>
      </c>
      <c r="E303" s="437" t="s">
        <v>180</v>
      </c>
      <c r="F303" s="438"/>
      <c r="G303" s="344"/>
      <c r="H303" s="345"/>
      <c r="I303" s="345"/>
      <c r="J303" s="345"/>
      <c r="K303" s="345"/>
      <c r="L303" s="345"/>
      <c r="M303" s="346">
        <f>SUM(M304:M306)</f>
        <v>1210</v>
      </c>
      <c r="N303" s="408"/>
      <c r="O303" s="409"/>
    </row>
    <row r="304" spans="1:15" customFormat="1">
      <c r="A304" s="347"/>
      <c r="B304" s="347"/>
      <c r="C304" s="348"/>
      <c r="D304" s="421" t="s">
        <v>1758</v>
      </c>
      <c r="E304" s="422"/>
      <c r="F304" s="423">
        <f>1065*1.1</f>
        <v>1171.5</v>
      </c>
      <c r="G304" s="352"/>
      <c r="H304" s="353"/>
      <c r="I304" s="353"/>
      <c r="J304" s="353"/>
      <c r="K304" s="353"/>
      <c r="L304" s="353"/>
      <c r="M304" s="353">
        <f>F304</f>
        <v>1171.5</v>
      </c>
      <c r="N304" s="405"/>
      <c r="O304" s="352"/>
    </row>
    <row r="305" spans="1:15" customFormat="1">
      <c r="A305" s="347"/>
      <c r="B305" s="347"/>
      <c r="C305" s="348"/>
      <c r="D305" s="421" t="s">
        <v>1405</v>
      </c>
      <c r="E305" s="422"/>
      <c r="F305" s="423">
        <f>35*1.1</f>
        <v>38.5</v>
      </c>
      <c r="G305" s="352"/>
      <c r="H305" s="353"/>
      <c r="I305" s="353"/>
      <c r="J305" s="353"/>
      <c r="K305" s="353"/>
      <c r="L305" s="353"/>
      <c r="M305" s="353">
        <f>F305</f>
        <v>38.5</v>
      </c>
      <c r="N305" s="405"/>
      <c r="O305" s="352"/>
    </row>
    <row r="306" spans="1:15" customFormat="1">
      <c r="A306" s="354"/>
      <c r="B306" s="354"/>
      <c r="C306" s="355"/>
      <c r="D306" s="439"/>
      <c r="E306" s="440"/>
      <c r="F306" s="441"/>
      <c r="G306" s="359"/>
      <c r="H306" s="360"/>
      <c r="I306" s="360"/>
      <c r="J306" s="360"/>
      <c r="K306" s="360"/>
      <c r="L306" s="360"/>
      <c r="M306" s="360"/>
      <c r="N306" s="406"/>
      <c r="O306" s="359"/>
    </row>
    <row r="307" spans="1:15" customFormat="1">
      <c r="A307" s="339" t="s">
        <v>1759</v>
      </c>
      <c r="B307" s="339" t="s">
        <v>3</v>
      </c>
      <c r="C307" s="340" t="s">
        <v>937</v>
      </c>
      <c r="D307" s="436" t="s">
        <v>938</v>
      </c>
      <c r="E307" s="437" t="s">
        <v>167</v>
      </c>
      <c r="F307" s="438"/>
      <c r="G307" s="344"/>
      <c r="H307" s="345"/>
      <c r="I307" s="345"/>
      <c r="J307" s="345"/>
      <c r="K307" s="345"/>
      <c r="L307" s="345"/>
      <c r="M307" s="346">
        <f>SUM(M308:M309)</f>
        <v>405</v>
      </c>
      <c r="N307" s="408"/>
      <c r="O307" s="409"/>
    </row>
    <row r="308" spans="1:15" customFormat="1">
      <c r="A308" s="347"/>
      <c r="B308" s="347"/>
      <c r="C308" s="348"/>
      <c r="D308" s="421" t="s">
        <v>1723</v>
      </c>
      <c r="E308" s="422"/>
      <c r="F308" s="423">
        <v>405</v>
      </c>
      <c r="G308" s="352"/>
      <c r="H308" s="353"/>
      <c r="I308" s="353"/>
      <c r="J308" s="353"/>
      <c r="K308" s="353"/>
      <c r="L308" s="353"/>
      <c r="M308" s="353">
        <f>F308</f>
        <v>405</v>
      </c>
      <c r="N308" s="405"/>
      <c r="O308" s="352"/>
    </row>
    <row r="309" spans="1:15" customFormat="1">
      <c r="A309" s="354"/>
      <c r="B309" s="354"/>
      <c r="C309" s="355"/>
      <c r="D309" s="439"/>
      <c r="E309" s="440"/>
      <c r="F309" s="441"/>
      <c r="G309" s="359"/>
      <c r="H309" s="360"/>
      <c r="I309" s="360"/>
      <c r="J309" s="360"/>
      <c r="K309" s="360"/>
      <c r="L309" s="360"/>
      <c r="M309" s="360"/>
      <c r="N309" s="406"/>
      <c r="O309" s="359"/>
    </row>
    <row r="310" spans="1:15" customFormat="1" ht="63">
      <c r="A310" s="339" t="s">
        <v>1760</v>
      </c>
      <c r="B310" s="339" t="s">
        <v>3</v>
      </c>
      <c r="C310" s="340" t="s">
        <v>937</v>
      </c>
      <c r="D310" s="436" t="s">
        <v>1443</v>
      </c>
      <c r="E310" s="437" t="s">
        <v>167</v>
      </c>
      <c r="F310" s="438"/>
      <c r="G310" s="344"/>
      <c r="H310" s="345"/>
      <c r="I310" s="345"/>
      <c r="J310" s="345"/>
      <c r="K310" s="345"/>
      <c r="L310" s="345"/>
      <c r="M310" s="346">
        <f>SUM(M311:M312)</f>
        <v>405</v>
      </c>
      <c r="N310" s="408"/>
      <c r="O310" s="409"/>
    </row>
    <row r="311" spans="1:15" customFormat="1">
      <c r="A311" s="347"/>
      <c r="B311" s="347"/>
      <c r="C311" s="348"/>
      <c r="D311" s="421" t="s">
        <v>1723</v>
      </c>
      <c r="E311" s="422"/>
      <c r="F311" s="423">
        <v>405</v>
      </c>
      <c r="G311" s="352"/>
      <c r="H311" s="353"/>
      <c r="I311" s="353"/>
      <c r="J311" s="353"/>
      <c r="K311" s="353"/>
      <c r="L311" s="353"/>
      <c r="M311" s="353">
        <f>F311</f>
        <v>405</v>
      </c>
      <c r="N311" s="405"/>
      <c r="O311" s="352"/>
    </row>
    <row r="312" spans="1:15" customFormat="1">
      <c r="A312" s="354"/>
      <c r="B312" s="354"/>
      <c r="C312" s="355"/>
      <c r="D312" s="439"/>
      <c r="E312" s="440"/>
      <c r="F312" s="441"/>
      <c r="G312" s="359"/>
      <c r="H312" s="360"/>
      <c r="I312" s="360"/>
      <c r="J312" s="360"/>
      <c r="K312" s="360"/>
      <c r="L312" s="360"/>
      <c r="M312" s="360"/>
      <c r="N312" s="406"/>
      <c r="O312" s="359"/>
    </row>
    <row r="313" spans="1:15" customFormat="1" ht="63">
      <c r="A313" s="339" t="s">
        <v>1761</v>
      </c>
      <c r="B313" s="339" t="s">
        <v>4</v>
      </c>
      <c r="C313" s="340" t="s">
        <v>1445</v>
      </c>
      <c r="D313" s="436" t="s">
        <v>1446</v>
      </c>
      <c r="E313" s="437" t="s">
        <v>167</v>
      </c>
      <c r="F313" s="438"/>
      <c r="G313" s="344"/>
      <c r="H313" s="345"/>
      <c r="I313" s="345"/>
      <c r="J313" s="345"/>
      <c r="K313" s="345"/>
      <c r="L313" s="345"/>
      <c r="M313" s="346">
        <f>SUM(M314:M315)</f>
        <v>41</v>
      </c>
      <c r="N313" s="408"/>
      <c r="O313" s="409"/>
    </row>
    <row r="314" spans="1:15" customFormat="1">
      <c r="A314" s="347"/>
      <c r="B314" s="347"/>
      <c r="C314" s="348"/>
      <c r="D314" s="421" t="s">
        <v>1723</v>
      </c>
      <c r="E314" s="422"/>
      <c r="F314" s="423">
        <v>41</v>
      </c>
      <c r="G314" s="352"/>
      <c r="H314" s="353"/>
      <c r="I314" s="353"/>
      <c r="J314" s="353"/>
      <c r="K314" s="353"/>
      <c r="L314" s="353"/>
      <c r="M314" s="353">
        <f>F314</f>
        <v>41</v>
      </c>
      <c r="N314" s="405"/>
      <c r="O314" s="352"/>
    </row>
    <row r="315" spans="1:15" customFormat="1">
      <c r="A315" s="354"/>
      <c r="B315" s="354"/>
      <c r="C315" s="355"/>
      <c r="D315" s="439"/>
      <c r="E315" s="440"/>
      <c r="F315" s="441"/>
      <c r="G315" s="359"/>
      <c r="H315" s="360"/>
      <c r="I315" s="360"/>
      <c r="J315" s="360"/>
      <c r="K315" s="360"/>
      <c r="L315" s="360"/>
      <c r="M315" s="360"/>
      <c r="N315" s="406"/>
      <c r="O315" s="359"/>
    </row>
    <row r="316" spans="1:15" customFormat="1" ht="78.75">
      <c r="A316" s="339" t="s">
        <v>1762</v>
      </c>
      <c r="B316" s="339" t="s">
        <v>4</v>
      </c>
      <c r="C316" s="340" t="s">
        <v>1763</v>
      </c>
      <c r="D316" s="436" t="s">
        <v>1764</v>
      </c>
      <c r="E316" s="437" t="s">
        <v>167</v>
      </c>
      <c r="F316" s="438"/>
      <c r="G316" s="344"/>
      <c r="H316" s="345"/>
      <c r="I316" s="345"/>
      <c r="J316" s="345"/>
      <c r="K316" s="345"/>
      <c r="L316" s="345"/>
      <c r="M316" s="346">
        <f>SUM(M317:M318)</f>
        <v>7</v>
      </c>
      <c r="N316" s="408"/>
      <c r="O316" s="409"/>
    </row>
    <row r="317" spans="1:15" customFormat="1">
      <c r="A317" s="347"/>
      <c r="B317" s="347"/>
      <c r="C317" s="348"/>
      <c r="D317" s="421" t="s">
        <v>1723</v>
      </c>
      <c r="E317" s="422"/>
      <c r="F317" s="423">
        <v>7</v>
      </c>
      <c r="G317" s="352"/>
      <c r="H317" s="353"/>
      <c r="I317" s="353"/>
      <c r="J317" s="353"/>
      <c r="K317" s="353"/>
      <c r="L317" s="353"/>
      <c r="M317" s="353">
        <f>F317</f>
        <v>7</v>
      </c>
      <c r="N317" s="405"/>
      <c r="O317" s="352"/>
    </row>
    <row r="318" spans="1:15" customFormat="1">
      <c r="A318" s="354"/>
      <c r="B318" s="354"/>
      <c r="C318" s="355"/>
      <c r="D318" s="439"/>
      <c r="E318" s="440"/>
      <c r="F318" s="441"/>
      <c r="G318" s="359"/>
      <c r="H318" s="360"/>
      <c r="I318" s="360"/>
      <c r="J318" s="360"/>
      <c r="K318" s="360"/>
      <c r="L318" s="360"/>
      <c r="M318" s="360"/>
      <c r="N318" s="406"/>
      <c r="O318" s="359"/>
    </row>
    <row r="319" spans="1:15" customFormat="1" ht="31.5">
      <c r="A319" s="339" t="s">
        <v>1765</v>
      </c>
      <c r="B319" s="339" t="s">
        <v>3</v>
      </c>
      <c r="C319" s="340" t="s">
        <v>954</v>
      </c>
      <c r="D319" s="341" t="s">
        <v>955</v>
      </c>
      <c r="E319" s="437" t="s">
        <v>180</v>
      </c>
      <c r="F319" s="438"/>
      <c r="G319" s="344"/>
      <c r="H319" s="345"/>
      <c r="I319" s="345"/>
      <c r="J319" s="345"/>
      <c r="K319" s="345"/>
      <c r="L319" s="345"/>
      <c r="M319" s="346">
        <f>SUM(M320:M321)</f>
        <v>30</v>
      </c>
      <c r="N319" s="408"/>
      <c r="O319" s="409"/>
    </row>
    <row r="320" spans="1:15" customFormat="1">
      <c r="A320" s="347"/>
      <c r="B320" s="347"/>
      <c r="C320" s="348"/>
      <c r="D320" s="421" t="s">
        <v>1405</v>
      </c>
      <c r="E320" s="422"/>
      <c r="F320" s="423">
        <v>30</v>
      </c>
      <c r="G320" s="352"/>
      <c r="H320" s="353"/>
      <c r="I320" s="353"/>
      <c r="J320" s="353"/>
      <c r="K320" s="353"/>
      <c r="L320" s="353"/>
      <c r="M320" s="353">
        <f>F320</f>
        <v>30</v>
      </c>
      <c r="N320" s="405"/>
      <c r="O320" s="352"/>
    </row>
    <row r="321" spans="1:15" customFormat="1">
      <c r="A321" s="354"/>
      <c r="B321" s="354"/>
      <c r="C321" s="355"/>
      <c r="D321" s="439"/>
      <c r="E321" s="440"/>
      <c r="F321" s="441"/>
      <c r="G321" s="359"/>
      <c r="H321" s="360"/>
      <c r="I321" s="360"/>
      <c r="J321" s="360"/>
      <c r="K321" s="360"/>
      <c r="L321" s="360"/>
      <c r="M321" s="360"/>
      <c r="N321" s="406"/>
      <c r="O321" s="359"/>
    </row>
    <row r="322" spans="1:15" customFormat="1" ht="31.5">
      <c r="A322" s="339" t="s">
        <v>1766</v>
      </c>
      <c r="B322" s="339" t="s">
        <v>3</v>
      </c>
      <c r="C322" s="340" t="s">
        <v>957</v>
      </c>
      <c r="D322" s="436" t="s">
        <v>958</v>
      </c>
      <c r="E322" s="437" t="s">
        <v>167</v>
      </c>
      <c r="F322" s="438"/>
      <c r="G322" s="344"/>
      <c r="H322" s="345"/>
      <c r="I322" s="345"/>
      <c r="J322" s="345"/>
      <c r="K322" s="345"/>
      <c r="L322" s="345"/>
      <c r="M322" s="346">
        <f>SUM(M323:M324)</f>
        <v>3</v>
      </c>
      <c r="N322" s="408"/>
      <c r="O322" s="409"/>
    </row>
    <row r="323" spans="1:15" customFormat="1">
      <c r="A323" s="347"/>
      <c r="B323" s="347"/>
      <c r="C323" s="348"/>
      <c r="D323" s="421" t="s">
        <v>1405</v>
      </c>
      <c r="E323" s="422"/>
      <c r="F323" s="423">
        <v>3</v>
      </c>
      <c r="G323" s="352"/>
      <c r="H323" s="353"/>
      <c r="I323" s="353"/>
      <c r="J323" s="353"/>
      <c r="K323" s="353"/>
      <c r="L323" s="353"/>
      <c r="M323" s="353">
        <f>F323</f>
        <v>3</v>
      </c>
      <c r="N323" s="405"/>
      <c r="O323" s="352"/>
    </row>
    <row r="324" spans="1:15" customFormat="1">
      <c r="A324" s="354"/>
      <c r="B324" s="354"/>
      <c r="C324" s="355"/>
      <c r="D324" s="439"/>
      <c r="E324" s="440"/>
      <c r="F324" s="441"/>
      <c r="G324" s="359"/>
      <c r="H324" s="360"/>
      <c r="I324" s="360"/>
      <c r="J324" s="360"/>
      <c r="K324" s="360"/>
      <c r="L324" s="360"/>
      <c r="M324" s="360"/>
      <c r="N324" s="406"/>
      <c r="O324" s="359"/>
    </row>
    <row r="325" spans="1:15" customFormat="1" ht="31.5">
      <c r="A325" s="339" t="s">
        <v>1767</v>
      </c>
      <c r="B325" s="339" t="s">
        <v>3</v>
      </c>
      <c r="C325" s="340" t="s">
        <v>960</v>
      </c>
      <c r="D325" s="436" t="s">
        <v>961</v>
      </c>
      <c r="E325" s="437" t="s">
        <v>167</v>
      </c>
      <c r="F325" s="438"/>
      <c r="G325" s="344"/>
      <c r="H325" s="345"/>
      <c r="I325" s="345"/>
      <c r="J325" s="345"/>
      <c r="K325" s="345"/>
      <c r="L325" s="345"/>
      <c r="M325" s="346">
        <f>SUM(M326:M327)</f>
        <v>1</v>
      </c>
      <c r="N325" s="408"/>
      <c r="O325" s="409"/>
    </row>
    <row r="326" spans="1:15" customFormat="1">
      <c r="A326" s="347"/>
      <c r="B326" s="347"/>
      <c r="C326" s="348"/>
      <c r="D326" s="421" t="s">
        <v>1405</v>
      </c>
      <c r="E326" s="422"/>
      <c r="F326" s="423">
        <v>1</v>
      </c>
      <c r="G326" s="352"/>
      <c r="H326" s="353"/>
      <c r="I326" s="353"/>
      <c r="J326" s="353"/>
      <c r="K326" s="353"/>
      <c r="L326" s="353"/>
      <c r="M326" s="353">
        <f>F326</f>
        <v>1</v>
      </c>
      <c r="N326" s="405"/>
      <c r="O326" s="352"/>
    </row>
    <row r="327" spans="1:15" customFormat="1">
      <c r="A327" s="354"/>
      <c r="B327" s="354"/>
      <c r="C327" s="355"/>
      <c r="D327" s="439"/>
      <c r="E327" s="440"/>
      <c r="F327" s="441"/>
      <c r="G327" s="359"/>
      <c r="H327" s="360"/>
      <c r="I327" s="360"/>
      <c r="J327" s="360"/>
      <c r="K327" s="360"/>
      <c r="L327" s="360"/>
      <c r="M327" s="360"/>
      <c r="N327" s="406"/>
      <c r="O327" s="359"/>
    </row>
    <row r="328" spans="1:15" customFormat="1">
      <c r="A328" s="339" t="s">
        <v>1768</v>
      </c>
      <c r="B328" s="339" t="s">
        <v>160</v>
      </c>
      <c r="C328" s="340" t="s">
        <v>963</v>
      </c>
      <c r="D328" s="436" t="s">
        <v>964</v>
      </c>
      <c r="E328" s="437" t="s">
        <v>167</v>
      </c>
      <c r="F328" s="438"/>
      <c r="G328" s="344"/>
      <c r="H328" s="345"/>
      <c r="I328" s="345"/>
      <c r="J328" s="345"/>
      <c r="K328" s="345"/>
      <c r="L328" s="345"/>
      <c r="M328" s="346">
        <f>SUM(M329:M330)</f>
        <v>1</v>
      </c>
      <c r="N328" s="408"/>
      <c r="O328" s="409"/>
    </row>
    <row r="329" spans="1:15" customFormat="1">
      <c r="A329" s="347"/>
      <c r="B329" s="347"/>
      <c r="C329" s="348"/>
      <c r="D329" s="421" t="s">
        <v>1405</v>
      </c>
      <c r="E329" s="422"/>
      <c r="F329" s="423">
        <v>1</v>
      </c>
      <c r="G329" s="352"/>
      <c r="H329" s="353"/>
      <c r="I329" s="353"/>
      <c r="J329" s="353"/>
      <c r="K329" s="353"/>
      <c r="L329" s="353"/>
      <c r="M329" s="353">
        <f>F329</f>
        <v>1</v>
      </c>
      <c r="N329" s="405"/>
      <c r="O329" s="352"/>
    </row>
    <row r="330" spans="1:15" customFormat="1">
      <c r="A330" s="354"/>
      <c r="B330" s="354"/>
      <c r="C330" s="355"/>
      <c r="D330" s="439"/>
      <c r="E330" s="440"/>
      <c r="F330" s="441"/>
      <c r="G330" s="359"/>
      <c r="H330" s="360"/>
      <c r="I330" s="360"/>
      <c r="J330" s="360"/>
      <c r="K330" s="360"/>
      <c r="L330" s="360"/>
      <c r="M330" s="360"/>
      <c r="N330" s="406"/>
      <c r="O330" s="359"/>
    </row>
    <row r="331" spans="1:15" customFormat="1">
      <c r="A331" s="339" t="s">
        <v>1769</v>
      </c>
      <c r="B331" s="339" t="s">
        <v>160</v>
      </c>
      <c r="C331" s="340" t="s">
        <v>966</v>
      </c>
      <c r="D331" s="436" t="s">
        <v>967</v>
      </c>
      <c r="E331" s="437" t="s">
        <v>167</v>
      </c>
      <c r="F331" s="438"/>
      <c r="G331" s="344"/>
      <c r="H331" s="345"/>
      <c r="I331" s="345"/>
      <c r="J331" s="345"/>
      <c r="K331" s="345"/>
      <c r="L331" s="345"/>
      <c r="M331" s="346">
        <f>SUM(M332:M333)</f>
        <v>1</v>
      </c>
      <c r="N331" s="408"/>
      <c r="O331" s="409"/>
    </row>
    <row r="332" spans="1:15" customFormat="1">
      <c r="A332" s="347"/>
      <c r="B332" s="347"/>
      <c r="C332" s="348"/>
      <c r="D332" s="421" t="s">
        <v>1405</v>
      </c>
      <c r="E332" s="422"/>
      <c r="F332" s="423">
        <v>1</v>
      </c>
      <c r="G332" s="352"/>
      <c r="H332" s="353"/>
      <c r="I332" s="353"/>
      <c r="J332" s="353"/>
      <c r="K332" s="353"/>
      <c r="L332" s="353"/>
      <c r="M332" s="353">
        <f>F332</f>
        <v>1</v>
      </c>
      <c r="N332" s="405"/>
      <c r="O332" s="352"/>
    </row>
    <row r="333" spans="1:15" customFormat="1">
      <c r="A333" s="354"/>
      <c r="B333" s="354"/>
      <c r="C333" s="355"/>
      <c r="D333" s="439"/>
      <c r="E333" s="440"/>
      <c r="F333" s="441"/>
      <c r="G333" s="359"/>
      <c r="H333" s="360"/>
      <c r="I333" s="360"/>
      <c r="J333" s="360"/>
      <c r="K333" s="360"/>
      <c r="L333" s="360"/>
      <c r="M333" s="360"/>
      <c r="N333" s="406"/>
      <c r="O333" s="359"/>
    </row>
    <row r="334" spans="1:15" customFormat="1">
      <c r="A334" s="339" t="s">
        <v>1770</v>
      </c>
      <c r="B334" s="339" t="s">
        <v>160</v>
      </c>
      <c r="C334" s="340" t="s">
        <v>969</v>
      </c>
      <c r="D334" s="436" t="s">
        <v>970</v>
      </c>
      <c r="E334" s="437" t="s">
        <v>167</v>
      </c>
      <c r="F334" s="438"/>
      <c r="G334" s="344"/>
      <c r="H334" s="345"/>
      <c r="I334" s="345"/>
      <c r="J334" s="345"/>
      <c r="K334" s="345"/>
      <c r="L334" s="345"/>
      <c r="M334" s="346">
        <f>SUM(M335:M336)</f>
        <v>1</v>
      </c>
      <c r="N334" s="408"/>
      <c r="O334" s="409"/>
    </row>
    <row r="335" spans="1:15" customFormat="1">
      <c r="A335" s="347"/>
      <c r="B335" s="347"/>
      <c r="C335" s="348"/>
      <c r="D335" s="421" t="s">
        <v>1405</v>
      </c>
      <c r="E335" s="422"/>
      <c r="F335" s="423">
        <v>1</v>
      </c>
      <c r="G335" s="352"/>
      <c r="H335" s="353"/>
      <c r="I335" s="353"/>
      <c r="J335" s="353"/>
      <c r="K335" s="353"/>
      <c r="L335" s="353"/>
      <c r="M335" s="353">
        <f>F335</f>
        <v>1</v>
      </c>
      <c r="N335" s="405"/>
      <c r="O335" s="352"/>
    </row>
    <row r="336" spans="1:15" customFormat="1">
      <c r="A336" s="354"/>
      <c r="B336" s="354"/>
      <c r="C336" s="355"/>
      <c r="D336" s="439"/>
      <c r="E336" s="440"/>
      <c r="F336" s="441"/>
      <c r="G336" s="359"/>
      <c r="H336" s="360"/>
      <c r="I336" s="360"/>
      <c r="J336" s="360"/>
      <c r="K336" s="360"/>
      <c r="L336" s="360"/>
      <c r="M336" s="360"/>
      <c r="N336" s="406"/>
      <c r="O336" s="359"/>
    </row>
    <row r="337" spans="1:15" customFormat="1">
      <c r="A337" s="339" t="s">
        <v>1771</v>
      </c>
      <c r="B337" s="339" t="s">
        <v>160</v>
      </c>
      <c r="C337" s="340" t="s">
        <v>972</v>
      </c>
      <c r="D337" s="436" t="s">
        <v>973</v>
      </c>
      <c r="E337" s="437" t="s">
        <v>167</v>
      </c>
      <c r="F337" s="438"/>
      <c r="G337" s="344"/>
      <c r="H337" s="345"/>
      <c r="I337" s="345"/>
      <c r="J337" s="345"/>
      <c r="K337" s="345"/>
      <c r="L337" s="345"/>
      <c r="M337" s="346">
        <f>SUM(M338:M339)</f>
        <v>1</v>
      </c>
      <c r="N337" s="408"/>
      <c r="O337" s="409"/>
    </row>
    <row r="338" spans="1:15" customFormat="1">
      <c r="A338" s="347"/>
      <c r="B338" s="347"/>
      <c r="C338" s="348"/>
      <c r="D338" s="421" t="s">
        <v>1405</v>
      </c>
      <c r="E338" s="422"/>
      <c r="F338" s="423">
        <v>1</v>
      </c>
      <c r="G338" s="352"/>
      <c r="H338" s="353"/>
      <c r="I338" s="353"/>
      <c r="J338" s="353"/>
      <c r="K338" s="353"/>
      <c r="L338" s="353"/>
      <c r="M338" s="353">
        <f>F338</f>
        <v>1</v>
      </c>
      <c r="N338" s="405"/>
      <c r="O338" s="352"/>
    </row>
    <row r="339" spans="1:15" customFormat="1">
      <c r="A339" s="354"/>
      <c r="B339" s="354"/>
      <c r="C339" s="355"/>
      <c r="D339" s="439"/>
      <c r="E339" s="440"/>
      <c r="F339" s="441"/>
      <c r="G339" s="359"/>
      <c r="H339" s="360"/>
      <c r="I339" s="360"/>
      <c r="J339" s="360"/>
      <c r="K339" s="360"/>
      <c r="L339" s="360"/>
      <c r="M339" s="360"/>
      <c r="N339" s="406"/>
      <c r="O339" s="359"/>
    </row>
    <row r="340" spans="1:15" customFormat="1">
      <c r="A340" s="339" t="s">
        <v>1772</v>
      </c>
      <c r="B340" s="339" t="s">
        <v>160</v>
      </c>
      <c r="C340" s="340" t="s">
        <v>975</v>
      </c>
      <c r="D340" s="436" t="s">
        <v>976</v>
      </c>
      <c r="E340" s="437" t="s">
        <v>167</v>
      </c>
      <c r="F340" s="438"/>
      <c r="G340" s="344"/>
      <c r="H340" s="345"/>
      <c r="I340" s="345"/>
      <c r="J340" s="345"/>
      <c r="K340" s="345"/>
      <c r="L340" s="345"/>
      <c r="M340" s="346">
        <f>SUM(M341:M342)</f>
        <v>1</v>
      </c>
      <c r="N340" s="408"/>
      <c r="O340" s="409"/>
    </row>
    <row r="341" spans="1:15" customFormat="1">
      <c r="A341" s="347"/>
      <c r="B341" s="347"/>
      <c r="C341" s="348"/>
      <c r="D341" s="421" t="s">
        <v>1405</v>
      </c>
      <c r="E341" s="422"/>
      <c r="F341" s="423">
        <v>1</v>
      </c>
      <c r="G341" s="352"/>
      <c r="H341" s="353"/>
      <c r="I341" s="353"/>
      <c r="J341" s="353"/>
      <c r="K341" s="353"/>
      <c r="L341" s="353"/>
      <c r="M341" s="353">
        <f>F341</f>
        <v>1</v>
      </c>
      <c r="N341" s="405"/>
      <c r="O341" s="352"/>
    </row>
    <row r="342" spans="1:15" customFormat="1">
      <c r="A342" s="354"/>
      <c r="B342" s="354"/>
      <c r="C342" s="355"/>
      <c r="D342" s="439"/>
      <c r="E342" s="440"/>
      <c r="F342" s="441"/>
      <c r="G342" s="359"/>
      <c r="H342" s="360"/>
      <c r="I342" s="360"/>
      <c r="J342" s="360"/>
      <c r="K342" s="360"/>
      <c r="L342" s="360"/>
      <c r="M342" s="360"/>
      <c r="N342" s="406"/>
      <c r="O342" s="359"/>
    </row>
    <row r="343" spans="1:15" customFormat="1">
      <c r="A343" s="339" t="s">
        <v>1773</v>
      </c>
      <c r="B343" s="339" t="s">
        <v>160</v>
      </c>
      <c r="C343" s="340" t="s">
        <v>978</v>
      </c>
      <c r="D343" s="436" t="s">
        <v>979</v>
      </c>
      <c r="E343" s="437" t="s">
        <v>167</v>
      </c>
      <c r="F343" s="438"/>
      <c r="G343" s="344"/>
      <c r="H343" s="345"/>
      <c r="I343" s="345"/>
      <c r="J343" s="345"/>
      <c r="K343" s="345"/>
      <c r="L343" s="345"/>
      <c r="M343" s="346">
        <f>SUM(M344:M345)</f>
        <v>8</v>
      </c>
      <c r="N343" s="408"/>
      <c r="O343" s="409"/>
    </row>
    <row r="344" spans="1:15" customFormat="1">
      <c r="A344" s="347"/>
      <c r="B344" s="347"/>
      <c r="C344" s="348"/>
      <c r="D344" s="421" t="s">
        <v>1405</v>
      </c>
      <c r="E344" s="422"/>
      <c r="F344" s="423">
        <v>8</v>
      </c>
      <c r="G344" s="352"/>
      <c r="H344" s="353"/>
      <c r="I344" s="353"/>
      <c r="J344" s="353"/>
      <c r="K344" s="353"/>
      <c r="L344" s="353"/>
      <c r="M344" s="353">
        <f>F344</f>
        <v>8</v>
      </c>
      <c r="N344" s="405"/>
      <c r="O344" s="352"/>
    </row>
    <row r="345" spans="1:15" customFormat="1">
      <c r="A345" s="354"/>
      <c r="B345" s="354"/>
      <c r="C345" s="355"/>
      <c r="D345" s="439"/>
      <c r="E345" s="440"/>
      <c r="F345" s="441"/>
      <c r="G345" s="359"/>
      <c r="H345" s="360"/>
      <c r="I345" s="360"/>
      <c r="J345" s="360"/>
      <c r="K345" s="360"/>
      <c r="L345" s="360"/>
      <c r="M345" s="360"/>
      <c r="N345" s="406"/>
      <c r="O345" s="359"/>
    </row>
    <row r="346" spans="1:15" customFormat="1">
      <c r="A346" s="339" t="s">
        <v>1774</v>
      </c>
      <c r="B346" s="339" t="s">
        <v>160</v>
      </c>
      <c r="C346" s="340" t="s">
        <v>981</v>
      </c>
      <c r="D346" s="436" t="s">
        <v>982</v>
      </c>
      <c r="E346" s="437" t="s">
        <v>167</v>
      </c>
      <c r="F346" s="438"/>
      <c r="G346" s="344"/>
      <c r="H346" s="345"/>
      <c r="I346" s="345"/>
      <c r="J346" s="345"/>
      <c r="K346" s="345"/>
      <c r="L346" s="345"/>
      <c r="M346" s="346">
        <f>SUM(M347:M348)</f>
        <v>8</v>
      </c>
      <c r="N346" s="408"/>
      <c r="O346" s="409"/>
    </row>
    <row r="347" spans="1:15" customFormat="1">
      <c r="A347" s="347"/>
      <c r="B347" s="347"/>
      <c r="C347" s="348"/>
      <c r="D347" s="421" t="s">
        <v>1405</v>
      </c>
      <c r="E347" s="422"/>
      <c r="F347" s="423">
        <v>8</v>
      </c>
      <c r="G347" s="352"/>
      <c r="H347" s="353"/>
      <c r="I347" s="353"/>
      <c r="J347" s="353"/>
      <c r="K347" s="353"/>
      <c r="L347" s="353"/>
      <c r="M347" s="353">
        <f>F347</f>
        <v>8</v>
      </c>
      <c r="N347" s="405"/>
      <c r="O347" s="352"/>
    </row>
    <row r="348" spans="1:15" customFormat="1">
      <c r="A348" s="354"/>
      <c r="B348" s="354"/>
      <c r="C348" s="355"/>
      <c r="D348" s="439"/>
      <c r="E348" s="440"/>
      <c r="F348" s="441"/>
      <c r="G348" s="359"/>
      <c r="H348" s="360"/>
      <c r="I348" s="360"/>
      <c r="J348" s="360"/>
      <c r="K348" s="360"/>
      <c r="L348" s="360"/>
      <c r="M348" s="360"/>
      <c r="N348" s="406"/>
      <c r="O348" s="359"/>
    </row>
    <row r="349" spans="1:15" customFormat="1">
      <c r="A349" s="339" t="s">
        <v>1775</v>
      </c>
      <c r="B349" s="339" t="s">
        <v>160</v>
      </c>
      <c r="C349" s="340" t="s">
        <v>984</v>
      </c>
      <c r="D349" s="436" t="s">
        <v>985</v>
      </c>
      <c r="E349" s="437" t="s">
        <v>167</v>
      </c>
      <c r="F349" s="438"/>
      <c r="G349" s="344"/>
      <c r="H349" s="345"/>
      <c r="I349" s="345"/>
      <c r="J349" s="345"/>
      <c r="K349" s="345"/>
      <c r="L349" s="345"/>
      <c r="M349" s="346">
        <f>SUM(M350:M351)</f>
        <v>8</v>
      </c>
      <c r="N349" s="408"/>
      <c r="O349" s="409"/>
    </row>
    <row r="350" spans="1:15" customFormat="1">
      <c r="A350" s="347"/>
      <c r="B350" s="347"/>
      <c r="C350" s="348"/>
      <c r="D350" s="421" t="s">
        <v>1405</v>
      </c>
      <c r="E350" s="422"/>
      <c r="F350" s="423">
        <v>8</v>
      </c>
      <c r="G350" s="352"/>
      <c r="H350" s="353"/>
      <c r="I350" s="353"/>
      <c r="J350" s="353"/>
      <c r="K350" s="353"/>
      <c r="L350" s="353"/>
      <c r="M350" s="353">
        <f>F350</f>
        <v>8</v>
      </c>
      <c r="N350" s="405"/>
      <c r="O350" s="352"/>
    </row>
    <row r="351" spans="1:15" customFormat="1">
      <c r="A351" s="354"/>
      <c r="B351" s="354"/>
      <c r="C351" s="355"/>
      <c r="D351" s="439"/>
      <c r="E351" s="440"/>
      <c r="F351" s="441"/>
      <c r="G351" s="359"/>
      <c r="H351" s="360"/>
      <c r="I351" s="360"/>
      <c r="J351" s="360"/>
      <c r="K351" s="360"/>
      <c r="L351" s="360"/>
      <c r="M351" s="360"/>
      <c r="N351" s="406"/>
      <c r="O351" s="359"/>
    </row>
    <row r="352" spans="1:15">
      <c r="A352" s="311" t="s">
        <v>1508</v>
      </c>
      <c r="B352" s="312"/>
      <c r="C352" s="313"/>
      <c r="D352" s="314" t="s">
        <v>101</v>
      </c>
      <c r="E352" s="327"/>
      <c r="F352" s="328"/>
      <c r="G352" s="329"/>
      <c r="H352" s="329"/>
      <c r="I352" s="329"/>
      <c r="J352" s="329"/>
      <c r="K352" s="329"/>
      <c r="L352" s="329"/>
      <c r="M352" s="330"/>
      <c r="N352" s="407"/>
      <c r="O352" s="330"/>
    </row>
    <row r="353" spans="1:15" customFormat="1" ht="47.25">
      <c r="A353" s="339" t="s">
        <v>1509</v>
      </c>
      <c r="B353" s="339" t="s">
        <v>3</v>
      </c>
      <c r="C353" s="340" t="s">
        <v>987</v>
      </c>
      <c r="D353" s="341" t="s">
        <v>988</v>
      </c>
      <c r="E353" s="437" t="s">
        <v>180</v>
      </c>
      <c r="F353" s="438"/>
      <c r="G353" s="344"/>
      <c r="H353" s="345"/>
      <c r="I353" s="345"/>
      <c r="J353" s="345"/>
      <c r="K353" s="345"/>
      <c r="L353" s="345"/>
      <c r="M353" s="346">
        <f>SUM(M354:M355)</f>
        <v>165</v>
      </c>
      <c r="N353" s="408"/>
      <c r="O353" s="409"/>
    </row>
    <row r="354" spans="1:15" customFormat="1">
      <c r="A354" s="347"/>
      <c r="B354" s="347"/>
      <c r="C354" s="348"/>
      <c r="D354" s="421" t="s">
        <v>1776</v>
      </c>
      <c r="E354" s="422"/>
      <c r="F354" s="423">
        <f>150*1.1</f>
        <v>165</v>
      </c>
      <c r="G354" s="352"/>
      <c r="H354" s="353"/>
      <c r="I354" s="353"/>
      <c r="J354" s="353"/>
      <c r="K354" s="353"/>
      <c r="L354" s="353"/>
      <c r="M354" s="353">
        <f>F354</f>
        <v>165</v>
      </c>
      <c r="N354" s="405"/>
      <c r="O354" s="352"/>
    </row>
    <row r="355" spans="1:15" customFormat="1">
      <c r="A355" s="354"/>
      <c r="B355" s="354"/>
      <c r="C355" s="355"/>
      <c r="D355" s="439"/>
      <c r="E355" s="440"/>
      <c r="F355" s="441"/>
      <c r="G355" s="359"/>
      <c r="H355" s="360"/>
      <c r="I355" s="360"/>
      <c r="J355" s="360"/>
      <c r="K355" s="360"/>
      <c r="L355" s="360"/>
      <c r="M355" s="360"/>
      <c r="N355" s="406"/>
      <c r="O355" s="359"/>
    </row>
    <row r="356" spans="1:15" customFormat="1" ht="31.5">
      <c r="A356" s="339" t="s">
        <v>1510</v>
      </c>
      <c r="B356" s="339" t="s">
        <v>3</v>
      </c>
      <c r="C356" s="340" t="s">
        <v>368</v>
      </c>
      <c r="D356" s="436" t="s">
        <v>369</v>
      </c>
      <c r="E356" s="437" t="s">
        <v>180</v>
      </c>
      <c r="F356" s="438"/>
      <c r="G356" s="344"/>
      <c r="H356" s="345"/>
      <c r="I356" s="345"/>
      <c r="J356" s="345"/>
      <c r="K356" s="345"/>
      <c r="L356" s="345"/>
      <c r="M356" s="346">
        <f>SUM(M357:M358)</f>
        <v>759.00000000000011</v>
      </c>
      <c r="N356" s="408"/>
      <c r="O356" s="409"/>
    </row>
    <row r="357" spans="1:15" customFormat="1">
      <c r="A357" s="347"/>
      <c r="B357" s="347"/>
      <c r="C357" s="348"/>
      <c r="D357" s="421" t="s">
        <v>1776</v>
      </c>
      <c r="E357" s="422"/>
      <c r="F357" s="423">
        <f>690*1.1</f>
        <v>759.00000000000011</v>
      </c>
      <c r="G357" s="352"/>
      <c r="H357" s="353"/>
      <c r="I357" s="353"/>
      <c r="J357" s="353"/>
      <c r="K357" s="353"/>
      <c r="L357" s="353"/>
      <c r="M357" s="353">
        <f>F357</f>
        <v>759.00000000000011</v>
      </c>
      <c r="N357" s="405"/>
      <c r="O357" s="352"/>
    </row>
    <row r="358" spans="1:15" customFormat="1">
      <c r="A358" s="354"/>
      <c r="B358" s="354"/>
      <c r="C358" s="355"/>
      <c r="D358" s="439"/>
      <c r="E358" s="440"/>
      <c r="F358" s="441"/>
      <c r="G358" s="359"/>
      <c r="H358" s="360"/>
      <c r="I358" s="360"/>
      <c r="J358" s="360"/>
      <c r="K358" s="360"/>
      <c r="L358" s="360"/>
      <c r="M358" s="360"/>
      <c r="N358" s="406"/>
      <c r="O358" s="359"/>
    </row>
    <row r="359" spans="1:15" customFormat="1" ht="31.5">
      <c r="A359" s="339" t="s">
        <v>1511</v>
      </c>
      <c r="B359" s="339" t="s">
        <v>3</v>
      </c>
      <c r="C359" s="340" t="s">
        <v>991</v>
      </c>
      <c r="D359" s="341" t="s">
        <v>992</v>
      </c>
      <c r="E359" s="437" t="s">
        <v>180</v>
      </c>
      <c r="F359" s="438"/>
      <c r="G359" s="344"/>
      <c r="H359" s="345"/>
      <c r="I359" s="345"/>
      <c r="J359" s="345"/>
      <c r="K359" s="345"/>
      <c r="L359" s="345"/>
      <c r="M359" s="346">
        <f>SUM(M360:M361)</f>
        <v>104.50000000000001</v>
      </c>
      <c r="N359" s="408"/>
      <c r="O359" s="409"/>
    </row>
    <row r="360" spans="1:15" customFormat="1">
      <c r="A360" s="347"/>
      <c r="B360" s="347"/>
      <c r="C360" s="348"/>
      <c r="D360" s="421" t="s">
        <v>1776</v>
      </c>
      <c r="E360" s="422"/>
      <c r="F360" s="423">
        <f>95*1.1</f>
        <v>104.50000000000001</v>
      </c>
      <c r="G360" s="352"/>
      <c r="H360" s="353"/>
      <c r="I360" s="353"/>
      <c r="J360" s="353"/>
      <c r="K360" s="353"/>
      <c r="L360" s="353"/>
      <c r="M360" s="353">
        <f>F360</f>
        <v>104.50000000000001</v>
      </c>
      <c r="N360" s="405"/>
      <c r="O360" s="352"/>
    </row>
    <row r="361" spans="1:15" customFormat="1">
      <c r="A361" s="354"/>
      <c r="B361" s="354"/>
      <c r="C361" s="355"/>
      <c r="D361" s="439"/>
      <c r="E361" s="440"/>
      <c r="F361" s="441"/>
      <c r="G361" s="359"/>
      <c r="H361" s="360"/>
      <c r="I361" s="360"/>
      <c r="J361" s="360"/>
      <c r="K361" s="360"/>
      <c r="L361" s="360"/>
      <c r="M361" s="360"/>
      <c r="N361" s="406"/>
      <c r="O361" s="359"/>
    </row>
    <row r="362" spans="1:15" customFormat="1" ht="31.5">
      <c r="A362" s="339" t="s">
        <v>1512</v>
      </c>
      <c r="B362" s="339" t="s">
        <v>3</v>
      </c>
      <c r="C362" s="340" t="s">
        <v>994</v>
      </c>
      <c r="D362" s="436" t="s">
        <v>995</v>
      </c>
      <c r="E362" s="437" t="s">
        <v>167</v>
      </c>
      <c r="F362" s="438"/>
      <c r="G362" s="344"/>
      <c r="H362" s="345"/>
      <c r="I362" s="345"/>
      <c r="J362" s="345"/>
      <c r="K362" s="345"/>
      <c r="L362" s="345"/>
      <c r="M362" s="346">
        <f>SUM(M363:M364)</f>
        <v>8</v>
      </c>
      <c r="N362" s="408"/>
      <c r="O362" s="409"/>
    </row>
    <row r="363" spans="1:15" customFormat="1">
      <c r="A363" s="347"/>
      <c r="B363" s="347"/>
      <c r="C363" s="348"/>
      <c r="D363" s="421" t="s">
        <v>1776</v>
      </c>
      <c r="E363" s="422"/>
      <c r="F363" s="423">
        <v>8</v>
      </c>
      <c r="G363" s="352"/>
      <c r="H363" s="353"/>
      <c r="I363" s="353"/>
      <c r="J363" s="353"/>
      <c r="K363" s="353"/>
      <c r="L363" s="353"/>
      <c r="M363" s="353">
        <f>F363</f>
        <v>8</v>
      </c>
      <c r="N363" s="405"/>
      <c r="O363" s="352"/>
    </row>
    <row r="364" spans="1:15" customFormat="1">
      <c r="A364" s="354"/>
      <c r="B364" s="354"/>
      <c r="C364" s="355"/>
      <c r="D364" s="439"/>
      <c r="E364" s="440"/>
      <c r="F364" s="441"/>
      <c r="G364" s="359"/>
      <c r="H364" s="360"/>
      <c r="I364" s="360"/>
      <c r="J364" s="360"/>
      <c r="K364" s="360"/>
      <c r="L364" s="360"/>
      <c r="M364" s="360"/>
      <c r="N364" s="406"/>
      <c r="O364" s="359"/>
    </row>
    <row r="365" spans="1:15" customFormat="1" ht="31.5">
      <c r="A365" s="339" t="s">
        <v>1513</v>
      </c>
      <c r="B365" s="339" t="s">
        <v>3</v>
      </c>
      <c r="C365" s="340" t="s">
        <v>997</v>
      </c>
      <c r="D365" s="436" t="s">
        <v>998</v>
      </c>
      <c r="E365" s="437" t="s">
        <v>167</v>
      </c>
      <c r="F365" s="438"/>
      <c r="G365" s="344"/>
      <c r="H365" s="345"/>
      <c r="I365" s="345"/>
      <c r="J365" s="345"/>
      <c r="K365" s="345"/>
      <c r="L365" s="345"/>
      <c r="M365" s="346">
        <f>SUM(M366:M367)</f>
        <v>1</v>
      </c>
      <c r="N365" s="408"/>
      <c r="O365" s="409"/>
    </row>
    <row r="366" spans="1:15" customFormat="1">
      <c r="A366" s="347"/>
      <c r="B366" s="347"/>
      <c r="C366" s="348"/>
      <c r="D366" s="421" t="s">
        <v>1776</v>
      </c>
      <c r="E366" s="422"/>
      <c r="F366" s="423">
        <v>1</v>
      </c>
      <c r="G366" s="352"/>
      <c r="H366" s="353"/>
      <c r="I366" s="353"/>
      <c r="J366" s="353"/>
      <c r="K366" s="353"/>
      <c r="L366" s="353"/>
      <c r="M366" s="353">
        <f>F366</f>
        <v>1</v>
      </c>
      <c r="N366" s="405"/>
      <c r="O366" s="352"/>
    </row>
    <row r="367" spans="1:15" customFormat="1">
      <c r="A367" s="354"/>
      <c r="B367" s="354"/>
      <c r="C367" s="355"/>
      <c r="D367" s="439"/>
      <c r="E367" s="440"/>
      <c r="F367" s="441"/>
      <c r="G367" s="359"/>
      <c r="H367" s="360"/>
      <c r="I367" s="360"/>
      <c r="J367" s="360"/>
      <c r="K367" s="360"/>
      <c r="L367" s="360"/>
      <c r="M367" s="360"/>
      <c r="N367" s="406"/>
      <c r="O367" s="359"/>
    </row>
    <row r="368" spans="1:15" customFormat="1">
      <c r="A368" s="339" t="s">
        <v>1516</v>
      </c>
      <c r="B368" s="339" t="s">
        <v>3</v>
      </c>
      <c r="C368" s="340" t="s">
        <v>1000</v>
      </c>
      <c r="D368" s="436" t="s">
        <v>1001</v>
      </c>
      <c r="E368" s="437" t="s">
        <v>167</v>
      </c>
      <c r="F368" s="438"/>
      <c r="G368" s="344"/>
      <c r="H368" s="345"/>
      <c r="I368" s="345"/>
      <c r="J368" s="345"/>
      <c r="K368" s="345"/>
      <c r="L368" s="345"/>
      <c r="M368" s="346">
        <f>SUM(M369:M370)</f>
        <v>9</v>
      </c>
      <c r="N368" s="408"/>
      <c r="O368" s="409"/>
    </row>
    <row r="369" spans="1:15" customFormat="1">
      <c r="A369" s="347"/>
      <c r="B369" s="347"/>
      <c r="C369" s="348"/>
      <c r="D369" s="421" t="s">
        <v>1776</v>
      </c>
      <c r="E369" s="422"/>
      <c r="F369" s="423">
        <v>9</v>
      </c>
      <c r="G369" s="352"/>
      <c r="H369" s="353"/>
      <c r="I369" s="353"/>
      <c r="J369" s="353"/>
      <c r="K369" s="353"/>
      <c r="L369" s="353"/>
      <c r="M369" s="353">
        <f>F369</f>
        <v>9</v>
      </c>
      <c r="N369" s="405"/>
      <c r="O369" s="352"/>
    </row>
    <row r="370" spans="1:15" customFormat="1">
      <c r="A370" s="354"/>
      <c r="B370" s="354"/>
      <c r="C370" s="355"/>
      <c r="D370" s="439"/>
      <c r="E370" s="440"/>
      <c r="F370" s="441"/>
      <c r="G370" s="359"/>
      <c r="H370" s="360"/>
      <c r="I370" s="360"/>
      <c r="J370" s="360"/>
      <c r="K370" s="360"/>
      <c r="L370" s="360"/>
      <c r="M370" s="360"/>
      <c r="N370" s="406"/>
      <c r="O370" s="359"/>
    </row>
    <row r="371" spans="1:15" customFormat="1" ht="31.5">
      <c r="A371" s="339" t="s">
        <v>1517</v>
      </c>
      <c r="B371" s="339" t="s">
        <v>3</v>
      </c>
      <c r="C371" s="340" t="s">
        <v>362</v>
      </c>
      <c r="D371" s="341" t="s">
        <v>910</v>
      </c>
      <c r="E371" s="437" t="s">
        <v>180</v>
      </c>
      <c r="F371" s="438"/>
      <c r="G371" s="344"/>
      <c r="H371" s="345"/>
      <c r="I371" s="345"/>
      <c r="J371" s="345"/>
      <c r="K371" s="345"/>
      <c r="L371" s="345"/>
      <c r="M371" s="346">
        <f>SUM(M372:M373)</f>
        <v>9</v>
      </c>
      <c r="N371" s="408"/>
      <c r="O371" s="409"/>
    </row>
    <row r="372" spans="1:15" customFormat="1">
      <c r="A372" s="347"/>
      <c r="B372" s="347"/>
      <c r="C372" s="348"/>
      <c r="D372" s="421" t="s">
        <v>1776</v>
      </c>
      <c r="E372" s="422"/>
      <c r="F372" s="423">
        <v>9</v>
      </c>
      <c r="G372" s="352"/>
      <c r="H372" s="353"/>
      <c r="I372" s="353"/>
      <c r="J372" s="353"/>
      <c r="K372" s="353"/>
      <c r="L372" s="353"/>
      <c r="M372" s="353">
        <f>F372</f>
        <v>9</v>
      </c>
      <c r="N372" s="405"/>
      <c r="O372" s="352"/>
    </row>
    <row r="373" spans="1:15" customFormat="1">
      <c r="A373" s="354"/>
      <c r="B373" s="354"/>
      <c r="C373" s="355"/>
      <c r="D373" s="439"/>
      <c r="E373" s="440"/>
      <c r="F373" s="441"/>
      <c r="G373" s="359"/>
      <c r="H373" s="360"/>
      <c r="I373" s="360"/>
      <c r="J373" s="360"/>
      <c r="K373" s="360"/>
      <c r="L373" s="360"/>
      <c r="M373" s="360"/>
      <c r="N373" s="406"/>
      <c r="O373" s="359"/>
    </row>
    <row r="374" spans="1:15" customFormat="1" ht="31.5">
      <c r="A374" s="339" t="s">
        <v>1518</v>
      </c>
      <c r="B374" s="339" t="s">
        <v>3</v>
      </c>
      <c r="C374" s="340" t="s">
        <v>198</v>
      </c>
      <c r="D374" s="436" t="s">
        <v>199</v>
      </c>
      <c r="E374" s="437" t="s">
        <v>167</v>
      </c>
      <c r="F374" s="438"/>
      <c r="G374" s="344"/>
      <c r="H374" s="345"/>
      <c r="I374" s="345"/>
      <c r="J374" s="345"/>
      <c r="K374" s="345"/>
      <c r="L374" s="345"/>
      <c r="M374" s="346">
        <f>SUM(M375:M376)</f>
        <v>10</v>
      </c>
      <c r="N374" s="408"/>
      <c r="O374" s="409"/>
    </row>
    <row r="375" spans="1:15" customFormat="1">
      <c r="A375" s="347"/>
      <c r="B375" s="347"/>
      <c r="C375" s="348"/>
      <c r="D375" s="421" t="s">
        <v>1776</v>
      </c>
      <c r="E375" s="422"/>
      <c r="F375" s="423">
        <v>10</v>
      </c>
      <c r="G375" s="352"/>
      <c r="H375" s="353"/>
      <c r="I375" s="353"/>
      <c r="J375" s="353"/>
      <c r="K375" s="353"/>
      <c r="L375" s="353"/>
      <c r="M375" s="353">
        <f>F375</f>
        <v>10</v>
      </c>
      <c r="N375" s="405"/>
      <c r="O375" s="352"/>
    </row>
    <row r="376" spans="1:15" customFormat="1">
      <c r="A376" s="354"/>
      <c r="B376" s="354"/>
      <c r="C376" s="355"/>
      <c r="D376" s="439"/>
      <c r="E376" s="440"/>
      <c r="F376" s="441"/>
      <c r="G376" s="359"/>
      <c r="H376" s="360"/>
      <c r="I376" s="360"/>
      <c r="J376" s="360"/>
      <c r="K376" s="360"/>
      <c r="L376" s="360"/>
      <c r="M376" s="360"/>
      <c r="N376" s="406"/>
      <c r="O376" s="359"/>
    </row>
    <row r="377" spans="1:15" customFormat="1">
      <c r="A377" s="339" t="s">
        <v>1519</v>
      </c>
      <c r="B377" s="339" t="s">
        <v>3</v>
      </c>
      <c r="C377" s="340" t="s">
        <v>204</v>
      </c>
      <c r="D377" s="436" t="s">
        <v>205</v>
      </c>
      <c r="E377" s="437" t="s">
        <v>167</v>
      </c>
      <c r="F377" s="438"/>
      <c r="G377" s="344"/>
      <c r="H377" s="345"/>
      <c r="I377" s="345"/>
      <c r="J377" s="345"/>
      <c r="K377" s="345"/>
      <c r="L377" s="345"/>
      <c r="M377" s="346">
        <f>SUM(M378:M379)</f>
        <v>10</v>
      </c>
      <c r="N377" s="408"/>
      <c r="O377" s="409"/>
    </row>
    <row r="378" spans="1:15" customFormat="1">
      <c r="A378" s="347"/>
      <c r="B378" s="347"/>
      <c r="C378" s="348"/>
      <c r="D378" s="421" t="s">
        <v>1776</v>
      </c>
      <c r="E378" s="422"/>
      <c r="F378" s="423">
        <v>10</v>
      </c>
      <c r="G378" s="352"/>
      <c r="H378" s="353"/>
      <c r="I378" s="353"/>
      <c r="J378" s="353"/>
      <c r="K378" s="353"/>
      <c r="L378" s="353"/>
      <c r="M378" s="353">
        <f>F378</f>
        <v>10</v>
      </c>
      <c r="N378" s="405"/>
      <c r="O378" s="352"/>
    </row>
    <row r="379" spans="1:15" customFormat="1">
      <c r="A379" s="354"/>
      <c r="B379" s="354"/>
      <c r="C379" s="355"/>
      <c r="D379" s="439"/>
      <c r="E379" s="440"/>
      <c r="F379" s="441"/>
      <c r="G379" s="359"/>
      <c r="H379" s="360"/>
      <c r="I379" s="360"/>
      <c r="J379" s="360"/>
      <c r="K379" s="360"/>
      <c r="L379" s="360"/>
      <c r="M379" s="360"/>
      <c r="N379" s="406"/>
      <c r="O379" s="359"/>
    </row>
    <row r="380" spans="1:15">
      <c r="A380" s="311" t="s">
        <v>1548</v>
      </c>
      <c r="B380" s="312"/>
      <c r="C380" s="313"/>
      <c r="D380" s="314" t="s">
        <v>103</v>
      </c>
      <c r="E380" s="327"/>
      <c r="F380" s="328"/>
      <c r="G380" s="329"/>
      <c r="H380" s="329"/>
      <c r="I380" s="329"/>
      <c r="J380" s="329"/>
      <c r="K380" s="329"/>
      <c r="L380" s="329"/>
      <c r="M380" s="330"/>
      <c r="N380" s="407"/>
      <c r="O380" s="330"/>
    </row>
    <row r="381" spans="1:15" customFormat="1" ht="31.5">
      <c r="A381" s="339" t="s">
        <v>1549</v>
      </c>
      <c r="B381" s="339" t="s">
        <v>3</v>
      </c>
      <c r="C381" s="340" t="s">
        <v>362</v>
      </c>
      <c r="D381" s="341" t="s">
        <v>910</v>
      </c>
      <c r="E381" s="437" t="s">
        <v>180</v>
      </c>
      <c r="F381" s="438"/>
      <c r="G381" s="344"/>
      <c r="H381" s="345"/>
      <c r="I381" s="345"/>
      <c r="J381" s="345"/>
      <c r="K381" s="345"/>
      <c r="L381" s="345"/>
      <c r="M381" s="346">
        <f>SUM(M382:M383)</f>
        <v>13.200000000000001</v>
      </c>
      <c r="N381" s="408"/>
      <c r="O381" s="409"/>
    </row>
    <row r="382" spans="1:15" customFormat="1">
      <c r="A382" s="347"/>
      <c r="B382" s="347"/>
      <c r="C382" s="348"/>
      <c r="D382" s="421" t="s">
        <v>1777</v>
      </c>
      <c r="E382" s="422"/>
      <c r="F382" s="423">
        <f>12*1.1</f>
        <v>13.200000000000001</v>
      </c>
      <c r="G382" s="352"/>
      <c r="H382" s="353"/>
      <c r="I382" s="353"/>
      <c r="J382" s="353"/>
      <c r="K382" s="353"/>
      <c r="L382" s="353"/>
      <c r="M382" s="353">
        <f>F382</f>
        <v>13.200000000000001</v>
      </c>
      <c r="N382" s="405"/>
      <c r="O382" s="352"/>
    </row>
    <row r="383" spans="1:15" customFormat="1">
      <c r="A383" s="354"/>
      <c r="B383" s="354"/>
      <c r="C383" s="355"/>
      <c r="D383" s="439"/>
      <c r="E383" s="440"/>
      <c r="F383" s="441"/>
      <c r="G383" s="359"/>
      <c r="H383" s="360"/>
      <c r="I383" s="360"/>
      <c r="J383" s="360"/>
      <c r="K383" s="360"/>
      <c r="L383" s="360"/>
      <c r="M383" s="360"/>
      <c r="N383" s="406"/>
      <c r="O383" s="359"/>
    </row>
    <row r="384" spans="1:15" customFormat="1" ht="31.5">
      <c r="A384" s="339" t="s">
        <v>1591</v>
      </c>
      <c r="B384" s="339" t="s">
        <v>3</v>
      </c>
      <c r="C384" s="340" t="s">
        <v>217</v>
      </c>
      <c r="D384" s="446" t="s">
        <v>218</v>
      </c>
      <c r="E384" s="437" t="s">
        <v>180</v>
      </c>
      <c r="F384" s="438"/>
      <c r="G384" s="344"/>
      <c r="H384" s="345"/>
      <c r="I384" s="345"/>
      <c r="J384" s="345"/>
      <c r="K384" s="345"/>
      <c r="L384" s="345"/>
      <c r="M384" s="346">
        <f>SUM(M385:M386)</f>
        <v>5</v>
      </c>
      <c r="N384" s="408"/>
      <c r="O384" s="409"/>
    </row>
    <row r="385" spans="1:15" customFormat="1">
      <c r="A385" s="347"/>
      <c r="B385" s="347"/>
      <c r="C385" s="348"/>
      <c r="D385" s="421" t="s">
        <v>1777</v>
      </c>
      <c r="E385" s="422"/>
      <c r="F385" s="423">
        <v>5</v>
      </c>
      <c r="G385" s="352"/>
      <c r="H385" s="353"/>
      <c r="I385" s="353"/>
      <c r="J385" s="353"/>
      <c r="K385" s="353"/>
      <c r="L385" s="353"/>
      <c r="M385" s="353">
        <f>F385</f>
        <v>5</v>
      </c>
      <c r="N385" s="405"/>
      <c r="O385" s="352"/>
    </row>
    <row r="386" spans="1:15" customFormat="1">
      <c r="A386" s="354"/>
      <c r="B386" s="354"/>
      <c r="C386" s="355"/>
      <c r="D386" s="439"/>
      <c r="E386" s="440"/>
      <c r="F386" s="441"/>
      <c r="G386" s="359"/>
      <c r="H386" s="360"/>
      <c r="I386" s="360"/>
      <c r="J386" s="360"/>
      <c r="K386" s="360"/>
      <c r="L386" s="360"/>
      <c r="M386" s="360"/>
      <c r="N386" s="406"/>
      <c r="O386" s="359"/>
    </row>
    <row r="387" spans="1:15" customFormat="1" ht="31.5">
      <c r="A387" s="339" t="s">
        <v>1636</v>
      </c>
      <c r="B387" s="339" t="s">
        <v>3</v>
      </c>
      <c r="C387" s="340" t="s">
        <v>1008</v>
      </c>
      <c r="D387" s="436" t="s">
        <v>1009</v>
      </c>
      <c r="E387" s="437" t="s">
        <v>167</v>
      </c>
      <c r="F387" s="438"/>
      <c r="G387" s="344"/>
      <c r="H387" s="345"/>
      <c r="I387" s="345"/>
      <c r="J387" s="345"/>
      <c r="K387" s="345"/>
      <c r="L387" s="345"/>
      <c r="M387" s="346">
        <f>SUM(M388:M389)</f>
        <v>18</v>
      </c>
      <c r="N387" s="408"/>
      <c r="O387" s="409"/>
    </row>
    <row r="388" spans="1:15" customFormat="1">
      <c r="A388" s="347"/>
      <c r="B388" s="347"/>
      <c r="C388" s="348"/>
      <c r="D388" s="421" t="s">
        <v>1777</v>
      </c>
      <c r="E388" s="422"/>
      <c r="F388" s="423">
        <v>18</v>
      </c>
      <c r="G388" s="352"/>
      <c r="H388" s="353"/>
      <c r="I388" s="353"/>
      <c r="J388" s="353"/>
      <c r="K388" s="353"/>
      <c r="L388" s="353"/>
      <c r="M388" s="353">
        <f>F388</f>
        <v>18</v>
      </c>
      <c r="N388" s="405"/>
      <c r="O388" s="352"/>
    </row>
    <row r="389" spans="1:15" customFormat="1">
      <c r="A389" s="354"/>
      <c r="B389" s="354"/>
      <c r="C389" s="355"/>
      <c r="D389" s="439"/>
      <c r="E389" s="440"/>
      <c r="F389" s="441"/>
      <c r="G389" s="359"/>
      <c r="H389" s="360"/>
      <c r="I389" s="360"/>
      <c r="J389" s="360"/>
      <c r="K389" s="360"/>
      <c r="L389" s="360"/>
      <c r="M389" s="360"/>
      <c r="N389" s="406"/>
      <c r="O389" s="359"/>
    </row>
    <row r="390" spans="1:15" customFormat="1">
      <c r="A390" s="339" t="s">
        <v>1673</v>
      </c>
      <c r="B390" s="339" t="s">
        <v>3</v>
      </c>
      <c r="C390" s="340" t="s">
        <v>204</v>
      </c>
      <c r="D390" s="436" t="s">
        <v>205</v>
      </c>
      <c r="E390" s="437" t="s">
        <v>167</v>
      </c>
      <c r="F390" s="438"/>
      <c r="G390" s="344"/>
      <c r="H390" s="345"/>
      <c r="I390" s="345"/>
      <c r="J390" s="345"/>
      <c r="K390" s="345"/>
      <c r="L390" s="345"/>
      <c r="M390" s="346">
        <f>SUM(M391:M392)</f>
        <v>18</v>
      </c>
      <c r="N390" s="408"/>
      <c r="O390" s="409"/>
    </row>
    <row r="391" spans="1:15" customFormat="1">
      <c r="A391" s="347"/>
      <c r="B391" s="347"/>
      <c r="C391" s="348"/>
      <c r="D391" s="421" t="s">
        <v>1777</v>
      </c>
      <c r="E391" s="422"/>
      <c r="F391" s="423">
        <v>18</v>
      </c>
      <c r="G391" s="352"/>
      <c r="H391" s="353"/>
      <c r="I391" s="353"/>
      <c r="J391" s="353"/>
      <c r="K391" s="353"/>
      <c r="L391" s="353"/>
      <c r="M391" s="353">
        <f>F391</f>
        <v>18</v>
      </c>
      <c r="N391" s="405"/>
      <c r="O391" s="352"/>
    </row>
    <row r="392" spans="1:15" customFormat="1">
      <c r="A392" s="354"/>
      <c r="B392" s="354"/>
      <c r="C392" s="355"/>
      <c r="D392" s="439"/>
      <c r="E392" s="440"/>
      <c r="F392" s="441"/>
      <c r="G392" s="359"/>
      <c r="H392" s="360"/>
      <c r="I392" s="360"/>
      <c r="J392" s="360"/>
      <c r="K392" s="360"/>
      <c r="L392" s="360"/>
      <c r="M392" s="360"/>
      <c r="N392" s="406"/>
      <c r="O392" s="359"/>
    </row>
    <row r="393" spans="1:15" customFormat="1" ht="47.25">
      <c r="A393" s="339" t="s">
        <v>1682</v>
      </c>
      <c r="B393" s="339" t="s">
        <v>3</v>
      </c>
      <c r="C393" s="340" t="s">
        <v>987</v>
      </c>
      <c r="D393" s="436" t="s">
        <v>988</v>
      </c>
      <c r="E393" s="437" t="s">
        <v>180</v>
      </c>
      <c r="F393" s="438"/>
      <c r="G393" s="344"/>
      <c r="H393" s="345"/>
      <c r="I393" s="345"/>
      <c r="J393" s="345"/>
      <c r="K393" s="345"/>
      <c r="L393" s="345"/>
      <c r="M393" s="346">
        <f>SUM(M394:M395)</f>
        <v>154</v>
      </c>
      <c r="N393" s="408"/>
      <c r="O393" s="409"/>
    </row>
    <row r="394" spans="1:15" customFormat="1">
      <c r="A394" s="347"/>
      <c r="B394" s="347"/>
      <c r="C394" s="348"/>
      <c r="D394" s="421" t="s">
        <v>1777</v>
      </c>
      <c r="E394" s="422"/>
      <c r="F394" s="423">
        <f>140*1.1</f>
        <v>154</v>
      </c>
      <c r="G394" s="352"/>
      <c r="H394" s="353"/>
      <c r="I394" s="353"/>
      <c r="J394" s="353"/>
      <c r="K394" s="353"/>
      <c r="L394" s="353"/>
      <c r="M394" s="353">
        <f>F394</f>
        <v>154</v>
      </c>
      <c r="N394" s="405"/>
      <c r="O394" s="352"/>
    </row>
    <row r="395" spans="1:15" customFormat="1">
      <c r="A395" s="354"/>
      <c r="B395" s="354"/>
      <c r="C395" s="355"/>
      <c r="D395" s="439"/>
      <c r="E395" s="440"/>
      <c r="F395" s="441"/>
      <c r="G395" s="359"/>
      <c r="H395" s="360"/>
      <c r="I395" s="360"/>
      <c r="J395" s="360"/>
      <c r="K395" s="360"/>
      <c r="L395" s="360"/>
      <c r="M395" s="360"/>
      <c r="N395" s="406"/>
      <c r="O395" s="359"/>
    </row>
    <row r="396" spans="1:15" customFormat="1" ht="31.5">
      <c r="A396" s="339" t="s">
        <v>1778</v>
      </c>
      <c r="B396" s="339" t="s">
        <v>3</v>
      </c>
      <c r="C396" s="340" t="s">
        <v>368</v>
      </c>
      <c r="D396" s="436" t="s">
        <v>369</v>
      </c>
      <c r="E396" s="437" t="s">
        <v>180</v>
      </c>
      <c r="F396" s="438"/>
      <c r="G396" s="344"/>
      <c r="H396" s="345"/>
      <c r="I396" s="345"/>
      <c r="J396" s="345"/>
      <c r="K396" s="345"/>
      <c r="L396" s="345"/>
      <c r="M396" s="346">
        <f>SUM(M397:M398)</f>
        <v>660</v>
      </c>
      <c r="N396" s="408"/>
      <c r="O396" s="409"/>
    </row>
    <row r="397" spans="1:15" customFormat="1">
      <c r="A397" s="347"/>
      <c r="B397" s="347"/>
      <c r="C397" s="348"/>
      <c r="D397" s="421" t="s">
        <v>1777</v>
      </c>
      <c r="E397" s="422"/>
      <c r="F397" s="423">
        <f>600*1.1</f>
        <v>660</v>
      </c>
      <c r="G397" s="352"/>
      <c r="H397" s="353"/>
      <c r="I397" s="353"/>
      <c r="J397" s="353"/>
      <c r="K397" s="353"/>
      <c r="L397" s="353"/>
      <c r="M397" s="353">
        <f>F397</f>
        <v>660</v>
      </c>
      <c r="N397" s="405"/>
      <c r="O397" s="352"/>
    </row>
    <row r="398" spans="1:15" customFormat="1">
      <c r="A398" s="354"/>
      <c r="B398" s="354"/>
      <c r="C398" s="355"/>
      <c r="D398" s="439"/>
      <c r="E398" s="440"/>
      <c r="F398" s="441"/>
      <c r="G398" s="359"/>
      <c r="H398" s="360"/>
      <c r="I398" s="360"/>
      <c r="J398" s="360"/>
      <c r="K398" s="360"/>
      <c r="L398" s="360"/>
      <c r="M398" s="360"/>
      <c r="N398" s="406"/>
      <c r="O398" s="359"/>
    </row>
    <row r="399" spans="1:15" customFormat="1" ht="31.5">
      <c r="A399" s="339" t="s">
        <v>1779</v>
      </c>
      <c r="B399" s="339" t="s">
        <v>2</v>
      </c>
      <c r="C399" s="340">
        <v>91222</v>
      </c>
      <c r="D399" s="436" t="s">
        <v>1014</v>
      </c>
      <c r="E399" s="437" t="s">
        <v>180</v>
      </c>
      <c r="F399" s="438"/>
      <c r="G399" s="344"/>
      <c r="H399" s="345"/>
      <c r="I399" s="345"/>
      <c r="J399" s="345"/>
      <c r="K399" s="345"/>
      <c r="L399" s="345"/>
      <c r="M399" s="346">
        <f>SUM(M400:M401)</f>
        <v>12</v>
      </c>
      <c r="N399" s="408"/>
      <c r="O399" s="409"/>
    </row>
    <row r="400" spans="1:15" customFormat="1">
      <c r="A400" s="347"/>
      <c r="B400" s="347"/>
      <c r="C400" s="348"/>
      <c r="D400" s="421" t="s">
        <v>1777</v>
      </c>
      <c r="E400" s="422"/>
      <c r="F400" s="423">
        <v>12</v>
      </c>
      <c r="G400" s="352"/>
      <c r="H400" s="353"/>
      <c r="I400" s="353"/>
      <c r="J400" s="353"/>
      <c r="K400" s="353"/>
      <c r="L400" s="353"/>
      <c r="M400" s="353">
        <f>F400</f>
        <v>12</v>
      </c>
      <c r="N400" s="405"/>
      <c r="O400" s="352"/>
    </row>
    <row r="401" spans="1:15" customFormat="1">
      <c r="A401" s="354"/>
      <c r="B401" s="354"/>
      <c r="C401" s="355"/>
      <c r="D401" s="439"/>
      <c r="E401" s="440"/>
      <c r="F401" s="441"/>
      <c r="G401" s="359"/>
      <c r="H401" s="360"/>
      <c r="I401" s="360"/>
      <c r="J401" s="360"/>
      <c r="K401" s="360"/>
      <c r="L401" s="360"/>
      <c r="M401" s="360"/>
      <c r="N401" s="406"/>
      <c r="O401" s="359"/>
    </row>
    <row r="402" spans="1:15" customFormat="1" ht="31.5">
      <c r="A402" s="339" t="s">
        <v>1780</v>
      </c>
      <c r="B402" s="339" t="s">
        <v>2</v>
      </c>
      <c r="C402" s="340">
        <v>90467</v>
      </c>
      <c r="D402" s="436" t="s">
        <v>1016</v>
      </c>
      <c r="E402" s="437" t="s">
        <v>180</v>
      </c>
      <c r="F402" s="438"/>
      <c r="G402" s="344"/>
      <c r="H402" s="345"/>
      <c r="I402" s="345"/>
      <c r="J402" s="345"/>
      <c r="K402" s="345"/>
      <c r="L402" s="345"/>
      <c r="M402" s="346">
        <f>SUM(M403:M404)</f>
        <v>12</v>
      </c>
      <c r="N402" s="408"/>
      <c r="O402" s="409"/>
    </row>
    <row r="403" spans="1:15" customFormat="1">
      <c r="A403" s="347"/>
      <c r="B403" s="347"/>
      <c r="C403" s="348"/>
      <c r="D403" s="421" t="s">
        <v>1777</v>
      </c>
      <c r="E403" s="422"/>
      <c r="F403" s="423">
        <v>12</v>
      </c>
      <c r="G403" s="352"/>
      <c r="H403" s="353"/>
      <c r="I403" s="353"/>
      <c r="J403" s="353"/>
      <c r="K403" s="353"/>
      <c r="L403" s="353"/>
      <c r="M403" s="353">
        <f>F403</f>
        <v>12</v>
      </c>
      <c r="N403" s="405"/>
      <c r="O403" s="352"/>
    </row>
    <row r="404" spans="1:15" customFormat="1">
      <c r="A404" s="354"/>
      <c r="B404" s="354"/>
      <c r="C404" s="355"/>
      <c r="D404" s="439"/>
      <c r="E404" s="440"/>
      <c r="F404" s="441"/>
      <c r="G404" s="359"/>
      <c r="H404" s="360"/>
      <c r="I404" s="360"/>
      <c r="J404" s="360"/>
      <c r="K404" s="360"/>
      <c r="L404" s="360"/>
      <c r="M404" s="360"/>
      <c r="N404" s="406"/>
      <c r="O404" s="359"/>
    </row>
    <row r="405" spans="1:15">
      <c r="A405" s="319"/>
      <c r="B405" s="320"/>
      <c r="C405" s="321"/>
      <c r="D405" s="322"/>
      <c r="E405" s="320"/>
      <c r="F405" s="323"/>
      <c r="G405" s="324"/>
      <c r="H405" s="324"/>
      <c r="I405" s="324"/>
      <c r="J405" s="324"/>
      <c r="K405" s="324"/>
      <c r="L405" s="324"/>
      <c r="M405" s="324"/>
      <c r="N405" s="325"/>
      <c r="O405" s="326"/>
    </row>
    <row r="406" spans="1:15">
      <c r="A406" s="301">
        <v>5</v>
      </c>
      <c r="B406" s="302"/>
      <c r="C406" s="303"/>
      <c r="D406" s="304" t="s">
        <v>105</v>
      </c>
      <c r="E406" s="305"/>
      <c r="F406" s="306"/>
      <c r="G406" s="307"/>
      <c r="H406" s="307"/>
      <c r="I406" s="307"/>
      <c r="J406" s="307"/>
      <c r="K406" s="307"/>
      <c r="L406" s="307"/>
      <c r="M406" s="308"/>
      <c r="N406" s="402"/>
      <c r="O406" s="308"/>
    </row>
    <row r="407" spans="1:15">
      <c r="A407" s="311" t="s">
        <v>1684</v>
      </c>
      <c r="B407" s="312"/>
      <c r="C407" s="313"/>
      <c r="D407" s="314" t="s">
        <v>74</v>
      </c>
      <c r="E407" s="327"/>
      <c r="F407" s="328"/>
      <c r="G407" s="329"/>
      <c r="H407" s="329"/>
      <c r="I407" s="329"/>
      <c r="J407" s="329"/>
      <c r="K407" s="329"/>
      <c r="L407" s="329"/>
      <c r="M407" s="330"/>
      <c r="N407" s="407"/>
      <c r="O407" s="330"/>
    </row>
    <row r="408" spans="1:15">
      <c r="A408" s="447" t="s">
        <v>1685</v>
      </c>
      <c r="B408" s="448"/>
      <c r="C408" s="449"/>
      <c r="D408" s="450" t="s">
        <v>1018</v>
      </c>
      <c r="E408" s="451"/>
      <c r="F408" s="452"/>
      <c r="G408" s="453"/>
      <c r="H408" s="453"/>
      <c r="I408" s="453"/>
      <c r="J408" s="453"/>
      <c r="K408" s="453"/>
      <c r="L408" s="453"/>
      <c r="M408" s="454"/>
      <c r="N408" s="463"/>
      <c r="O408" s="454"/>
    </row>
    <row r="409" spans="1:15" ht="261.75" customHeight="1">
      <c r="A409" s="339" t="s">
        <v>1781</v>
      </c>
      <c r="B409" s="339" t="s">
        <v>160</v>
      </c>
      <c r="C409" s="340" t="s">
        <v>413</v>
      </c>
      <c r="D409" s="341" t="s">
        <v>1021</v>
      </c>
      <c r="E409" s="342" t="s">
        <v>167</v>
      </c>
      <c r="F409" s="343"/>
      <c r="G409" s="344"/>
      <c r="H409" s="345"/>
      <c r="I409" s="345"/>
      <c r="J409" s="345"/>
      <c r="K409" s="345"/>
      <c r="L409" s="345"/>
      <c r="M409" s="346">
        <f>SUM(M410:M411)</f>
        <v>1</v>
      </c>
      <c r="N409" s="408"/>
      <c r="O409" s="409"/>
    </row>
    <row r="410" spans="1:15">
      <c r="A410" s="347"/>
      <c r="B410" s="347"/>
      <c r="C410" s="348"/>
      <c r="D410" s="421" t="s">
        <v>1782</v>
      </c>
      <c r="E410" s="422"/>
      <c r="F410" s="423">
        <v>1</v>
      </c>
      <c r="G410" s="352"/>
      <c r="H410" s="353"/>
      <c r="I410" s="353"/>
      <c r="J410" s="353"/>
      <c r="K410" s="353"/>
      <c r="L410" s="353"/>
      <c r="M410" s="353">
        <f>F410</f>
        <v>1</v>
      </c>
      <c r="N410" s="405"/>
      <c r="O410" s="352"/>
    </row>
    <row r="411" spans="1:15">
      <c r="A411" s="354"/>
      <c r="B411" s="354"/>
      <c r="C411" s="355"/>
      <c r="D411" s="356"/>
      <c r="E411" s="362"/>
      <c r="F411" s="358"/>
      <c r="G411" s="359"/>
      <c r="H411" s="360"/>
      <c r="I411" s="360"/>
      <c r="J411" s="360"/>
      <c r="K411" s="360"/>
      <c r="L411" s="360"/>
      <c r="M411" s="360"/>
      <c r="N411" s="405"/>
      <c r="O411" s="352"/>
    </row>
    <row r="412" spans="1:15" ht="258.75" customHeight="1">
      <c r="A412" s="339" t="s">
        <v>1783</v>
      </c>
      <c r="B412" s="339" t="s">
        <v>160</v>
      </c>
      <c r="C412" s="340" t="s">
        <v>425</v>
      </c>
      <c r="D412" s="341" t="s">
        <v>1024</v>
      </c>
      <c r="E412" s="342" t="s">
        <v>167</v>
      </c>
      <c r="F412" s="343"/>
      <c r="G412" s="344"/>
      <c r="H412" s="345"/>
      <c r="I412" s="345"/>
      <c r="J412" s="345"/>
      <c r="K412" s="345"/>
      <c r="L412" s="345"/>
      <c r="M412" s="346">
        <f>SUM(M413:M414)</f>
        <v>1</v>
      </c>
      <c r="N412" s="408"/>
      <c r="O412" s="409"/>
    </row>
    <row r="413" spans="1:15">
      <c r="A413" s="347"/>
      <c r="B413" s="347"/>
      <c r="C413" s="348"/>
      <c r="D413" s="421" t="s">
        <v>1782</v>
      </c>
      <c r="E413" s="422"/>
      <c r="F413" s="423">
        <v>1</v>
      </c>
      <c r="G413" s="352"/>
      <c r="H413" s="353"/>
      <c r="I413" s="353"/>
      <c r="J413" s="353"/>
      <c r="K413" s="353"/>
      <c r="L413" s="353"/>
      <c r="M413" s="353">
        <f>F413</f>
        <v>1</v>
      </c>
      <c r="N413" s="405"/>
      <c r="O413" s="352"/>
    </row>
    <row r="414" spans="1:15">
      <c r="A414" s="354"/>
      <c r="B414" s="354"/>
      <c r="C414" s="355"/>
      <c r="D414" s="356"/>
      <c r="E414" s="362"/>
      <c r="F414" s="358"/>
      <c r="G414" s="359"/>
      <c r="H414" s="360"/>
      <c r="I414" s="360"/>
      <c r="J414" s="360"/>
      <c r="K414" s="360"/>
      <c r="L414" s="360"/>
      <c r="M414" s="360"/>
      <c r="N414" s="406"/>
      <c r="O414" s="359"/>
    </row>
    <row r="415" spans="1:15" ht="296.25" customHeight="1">
      <c r="A415" s="339" t="s">
        <v>1784</v>
      </c>
      <c r="B415" s="339" t="s">
        <v>160</v>
      </c>
      <c r="C415" s="340" t="s">
        <v>1026</v>
      </c>
      <c r="D415" s="341" t="s">
        <v>1027</v>
      </c>
      <c r="E415" s="342" t="s">
        <v>167</v>
      </c>
      <c r="F415" s="343"/>
      <c r="G415" s="344"/>
      <c r="H415" s="345"/>
      <c r="I415" s="345"/>
      <c r="J415" s="345"/>
      <c r="K415" s="345"/>
      <c r="L415" s="345"/>
      <c r="M415" s="346">
        <f>SUM(M416:M417)</f>
        <v>1</v>
      </c>
      <c r="N415" s="408"/>
      <c r="O415" s="409"/>
    </row>
    <row r="416" spans="1:15">
      <c r="A416" s="347"/>
      <c r="B416" s="347"/>
      <c r="C416" s="348"/>
      <c r="D416" s="421" t="s">
        <v>1782</v>
      </c>
      <c r="E416" s="422"/>
      <c r="F416" s="423">
        <v>1</v>
      </c>
      <c r="G416" s="352"/>
      <c r="H416" s="353"/>
      <c r="I416" s="353"/>
      <c r="J416" s="353"/>
      <c r="K416" s="353"/>
      <c r="L416" s="353"/>
      <c r="M416" s="353">
        <f>F416</f>
        <v>1</v>
      </c>
      <c r="N416" s="405"/>
      <c r="O416" s="352"/>
    </row>
    <row r="417" spans="1:15">
      <c r="A417" s="354"/>
      <c r="B417" s="354"/>
      <c r="C417" s="355"/>
      <c r="D417" s="356"/>
      <c r="E417" s="362"/>
      <c r="F417" s="358"/>
      <c r="G417" s="359"/>
      <c r="H417" s="360"/>
      <c r="I417" s="360"/>
      <c r="J417" s="360"/>
      <c r="K417" s="360"/>
      <c r="L417" s="360"/>
      <c r="M417" s="360"/>
      <c r="N417" s="406"/>
      <c r="O417" s="359"/>
    </row>
    <row r="418" spans="1:15" ht="297" customHeight="1">
      <c r="A418" s="339" t="s">
        <v>1785</v>
      </c>
      <c r="B418" s="339" t="s">
        <v>160</v>
      </c>
      <c r="C418" s="340" t="s">
        <v>1029</v>
      </c>
      <c r="D418" s="341" t="s">
        <v>1030</v>
      </c>
      <c r="E418" s="342" t="s">
        <v>167</v>
      </c>
      <c r="F418" s="343"/>
      <c r="G418" s="344"/>
      <c r="H418" s="345"/>
      <c r="I418" s="345"/>
      <c r="J418" s="345"/>
      <c r="K418" s="345"/>
      <c r="L418" s="345"/>
      <c r="M418" s="346">
        <f>SUM(M419:M420)</f>
        <v>1</v>
      </c>
      <c r="N418" s="408"/>
      <c r="O418" s="409"/>
    </row>
    <row r="419" spans="1:15">
      <c r="A419" s="347"/>
      <c r="B419" s="347"/>
      <c r="C419" s="348"/>
      <c r="D419" s="421" t="s">
        <v>1782</v>
      </c>
      <c r="E419" s="422"/>
      <c r="F419" s="423">
        <v>1</v>
      </c>
      <c r="G419" s="352"/>
      <c r="H419" s="353"/>
      <c r="I419" s="353"/>
      <c r="J419" s="353"/>
      <c r="K419" s="353"/>
      <c r="L419" s="353"/>
      <c r="M419" s="353">
        <f>F419</f>
        <v>1</v>
      </c>
      <c r="N419" s="405"/>
      <c r="O419" s="352"/>
    </row>
    <row r="420" spans="1:15">
      <c r="A420" s="354"/>
      <c r="B420" s="354"/>
      <c r="C420" s="355"/>
      <c r="D420" s="356"/>
      <c r="E420" s="362"/>
      <c r="F420" s="358"/>
      <c r="G420" s="359"/>
      <c r="H420" s="360"/>
      <c r="I420" s="360"/>
      <c r="J420" s="360"/>
      <c r="K420" s="360"/>
      <c r="L420" s="360"/>
      <c r="M420" s="360"/>
      <c r="N420" s="406"/>
      <c r="O420" s="359"/>
    </row>
    <row r="421" spans="1:15">
      <c r="A421" s="447" t="s">
        <v>1688</v>
      </c>
      <c r="B421" s="448"/>
      <c r="C421" s="449"/>
      <c r="D421" s="450" t="s">
        <v>1032</v>
      </c>
      <c r="E421" s="451"/>
      <c r="F421" s="452"/>
      <c r="G421" s="453"/>
      <c r="H421" s="453"/>
      <c r="I421" s="453"/>
      <c r="J421" s="453"/>
      <c r="K421" s="453"/>
      <c r="L421" s="453"/>
      <c r="M421" s="454"/>
      <c r="N421" s="463"/>
      <c r="O421" s="454"/>
    </row>
    <row r="422" spans="1:15" ht="63">
      <c r="A422" s="339" t="s">
        <v>1786</v>
      </c>
      <c r="B422" s="339" t="s">
        <v>160</v>
      </c>
      <c r="C422" s="340" t="s">
        <v>1034</v>
      </c>
      <c r="D422" s="341" t="s">
        <v>1035</v>
      </c>
      <c r="E422" s="342" t="s">
        <v>167</v>
      </c>
      <c r="F422" s="343"/>
      <c r="G422" s="344"/>
      <c r="H422" s="345"/>
      <c r="I422" s="345"/>
      <c r="J422" s="345"/>
      <c r="K422" s="345"/>
      <c r="L422" s="345"/>
      <c r="M422" s="346">
        <f>SUM(M423:M424)</f>
        <v>19</v>
      </c>
      <c r="N422" s="408"/>
      <c r="O422" s="409"/>
    </row>
    <row r="423" spans="1:15">
      <c r="A423" s="347"/>
      <c r="B423" s="347"/>
      <c r="C423" s="348"/>
      <c r="D423" s="421" t="s">
        <v>1782</v>
      </c>
      <c r="E423" s="422"/>
      <c r="F423" s="423">
        <v>19</v>
      </c>
      <c r="G423" s="352"/>
      <c r="H423" s="353"/>
      <c r="I423" s="353"/>
      <c r="J423" s="353"/>
      <c r="K423" s="353"/>
      <c r="L423" s="353"/>
      <c r="M423" s="353">
        <f>F423</f>
        <v>19</v>
      </c>
      <c r="N423" s="405"/>
      <c r="O423" s="352"/>
    </row>
    <row r="424" spans="1:15">
      <c r="A424" s="354"/>
      <c r="B424" s="354"/>
      <c r="C424" s="355"/>
      <c r="D424" s="356"/>
      <c r="E424" s="362"/>
      <c r="F424" s="358"/>
      <c r="G424" s="359"/>
      <c r="H424" s="360"/>
      <c r="I424" s="360"/>
      <c r="J424" s="360"/>
      <c r="K424" s="360"/>
      <c r="L424" s="360"/>
      <c r="M424" s="360"/>
      <c r="N424" s="406"/>
      <c r="O424" s="359"/>
    </row>
    <row r="425" spans="1:15" ht="63">
      <c r="A425" s="339" t="s">
        <v>1787</v>
      </c>
      <c r="B425" s="339" t="s">
        <v>160</v>
      </c>
      <c r="C425" s="340" t="s">
        <v>1037</v>
      </c>
      <c r="D425" s="341" t="s">
        <v>1038</v>
      </c>
      <c r="E425" s="342" t="s">
        <v>167</v>
      </c>
      <c r="F425" s="343"/>
      <c r="G425" s="344"/>
      <c r="H425" s="345"/>
      <c r="I425" s="345"/>
      <c r="J425" s="345"/>
      <c r="K425" s="345"/>
      <c r="L425" s="345"/>
      <c r="M425" s="346">
        <f>SUM(M426:M427)</f>
        <v>90</v>
      </c>
      <c r="N425" s="408"/>
      <c r="O425" s="409"/>
    </row>
    <row r="426" spans="1:15">
      <c r="A426" s="347"/>
      <c r="B426" s="347"/>
      <c r="C426" s="348"/>
      <c r="D426" s="421" t="s">
        <v>1782</v>
      </c>
      <c r="E426" s="422"/>
      <c r="F426" s="423">
        <v>90</v>
      </c>
      <c r="G426" s="352"/>
      <c r="H426" s="353"/>
      <c r="I426" s="353"/>
      <c r="J426" s="353"/>
      <c r="K426" s="353"/>
      <c r="L426" s="353"/>
      <c r="M426" s="353">
        <f>F426</f>
        <v>90</v>
      </c>
      <c r="N426" s="405"/>
      <c r="O426" s="352"/>
    </row>
    <row r="427" spans="1:15">
      <c r="A427" s="354"/>
      <c r="B427" s="354"/>
      <c r="C427" s="355"/>
      <c r="D427" s="356"/>
      <c r="E427" s="362"/>
      <c r="F427" s="358"/>
      <c r="G427" s="359"/>
      <c r="H427" s="360"/>
      <c r="I427" s="360"/>
      <c r="J427" s="360"/>
      <c r="K427" s="360"/>
      <c r="L427" s="360"/>
      <c r="M427" s="360"/>
      <c r="N427" s="406"/>
      <c r="O427" s="359"/>
    </row>
    <row r="428" spans="1:15" ht="63">
      <c r="A428" s="339" t="s">
        <v>1788</v>
      </c>
      <c r="B428" s="339" t="s">
        <v>160</v>
      </c>
      <c r="C428" s="340" t="s">
        <v>1040</v>
      </c>
      <c r="D428" s="446" t="s">
        <v>1041</v>
      </c>
      <c r="E428" s="342" t="s">
        <v>167</v>
      </c>
      <c r="F428" s="343"/>
      <c r="G428" s="344"/>
      <c r="H428" s="345"/>
      <c r="I428" s="345"/>
      <c r="J428" s="345"/>
      <c r="K428" s="345"/>
      <c r="L428" s="345"/>
      <c r="M428" s="346">
        <f>SUM(M429:M430)</f>
        <v>7</v>
      </c>
      <c r="N428" s="408"/>
      <c r="O428" s="409"/>
    </row>
    <row r="429" spans="1:15">
      <c r="A429" s="347"/>
      <c r="B429" s="347"/>
      <c r="C429" s="348"/>
      <c r="D429" s="421" t="s">
        <v>1782</v>
      </c>
      <c r="E429" s="422"/>
      <c r="F429" s="423">
        <v>7</v>
      </c>
      <c r="G429" s="352"/>
      <c r="H429" s="353"/>
      <c r="I429" s="353"/>
      <c r="J429" s="353"/>
      <c r="K429" s="353"/>
      <c r="L429" s="353"/>
      <c r="M429" s="353">
        <f>F429</f>
        <v>7</v>
      </c>
      <c r="N429" s="405"/>
      <c r="O429" s="352"/>
    </row>
    <row r="430" spans="1:15">
      <c r="A430" s="354"/>
      <c r="B430" s="354"/>
      <c r="C430" s="355"/>
      <c r="D430" s="356"/>
      <c r="E430" s="362"/>
      <c r="F430" s="358"/>
      <c r="G430" s="359"/>
      <c r="H430" s="360"/>
      <c r="I430" s="360"/>
      <c r="J430" s="360"/>
      <c r="K430" s="360"/>
      <c r="L430" s="360"/>
      <c r="M430" s="360"/>
      <c r="N430" s="406"/>
      <c r="O430" s="359"/>
    </row>
    <row r="431" spans="1:15">
      <c r="A431" s="447" t="s">
        <v>1789</v>
      </c>
      <c r="B431" s="448"/>
      <c r="C431" s="449"/>
      <c r="D431" s="450" t="s">
        <v>1043</v>
      </c>
      <c r="E431" s="451"/>
      <c r="F431" s="452"/>
      <c r="G431" s="453"/>
      <c r="H431" s="453"/>
      <c r="I431" s="453"/>
      <c r="J431" s="453"/>
      <c r="K431" s="453"/>
      <c r="L431" s="453"/>
      <c r="M431" s="454"/>
      <c r="N431" s="463"/>
      <c r="O431" s="454"/>
    </row>
    <row r="432" spans="1:15" ht="31.5">
      <c r="A432" s="339" t="s">
        <v>1790</v>
      </c>
      <c r="B432" s="339" t="s">
        <v>160</v>
      </c>
      <c r="C432" s="340" t="s">
        <v>1045</v>
      </c>
      <c r="D432" s="446" t="s">
        <v>1791</v>
      </c>
      <c r="E432" s="342" t="s">
        <v>167</v>
      </c>
      <c r="F432" s="343"/>
      <c r="G432" s="344"/>
      <c r="H432" s="345"/>
      <c r="I432" s="345"/>
      <c r="J432" s="345"/>
      <c r="K432" s="345"/>
      <c r="L432" s="345"/>
      <c r="M432" s="346">
        <f>SUM(M433:M434)</f>
        <v>12</v>
      </c>
      <c r="N432" s="408"/>
      <c r="O432" s="409"/>
    </row>
    <row r="433" spans="1:15">
      <c r="A433" s="347"/>
      <c r="B433" s="347"/>
      <c r="C433" s="348"/>
      <c r="D433" s="421" t="s">
        <v>1782</v>
      </c>
      <c r="E433" s="422"/>
      <c r="F433" s="423">
        <v>12</v>
      </c>
      <c r="G433" s="352"/>
      <c r="H433" s="353"/>
      <c r="I433" s="353"/>
      <c r="J433" s="353"/>
      <c r="K433" s="353"/>
      <c r="L433" s="353"/>
      <c r="M433" s="353">
        <f>F433</f>
        <v>12</v>
      </c>
      <c r="N433" s="405"/>
      <c r="O433" s="352"/>
    </row>
    <row r="434" spans="1:15">
      <c r="A434" s="354"/>
      <c r="B434" s="354"/>
      <c r="C434" s="355"/>
      <c r="D434" s="356"/>
      <c r="E434" s="362"/>
      <c r="F434" s="358"/>
      <c r="G434" s="359"/>
      <c r="H434" s="360"/>
      <c r="I434" s="360"/>
      <c r="J434" s="360"/>
      <c r="K434" s="360"/>
      <c r="L434" s="360"/>
      <c r="M434" s="360"/>
      <c r="N434" s="406"/>
      <c r="O434" s="359"/>
    </row>
    <row r="435" spans="1:15" ht="31.5">
      <c r="A435" s="339" t="s">
        <v>1792</v>
      </c>
      <c r="B435" s="339" t="s">
        <v>160</v>
      </c>
      <c r="C435" s="340" t="s">
        <v>1048</v>
      </c>
      <c r="D435" s="446" t="s">
        <v>1793</v>
      </c>
      <c r="E435" s="342" t="s">
        <v>167</v>
      </c>
      <c r="F435" s="343"/>
      <c r="G435" s="344"/>
      <c r="H435" s="345"/>
      <c r="I435" s="345"/>
      <c r="J435" s="345"/>
      <c r="K435" s="345"/>
      <c r="L435" s="345"/>
      <c r="M435" s="346">
        <f>SUM(M436:M437)</f>
        <v>54</v>
      </c>
      <c r="N435" s="408"/>
      <c r="O435" s="409"/>
    </row>
    <row r="436" spans="1:15">
      <c r="A436" s="347"/>
      <c r="B436" s="347"/>
      <c r="C436" s="348"/>
      <c r="D436" s="421" t="s">
        <v>1782</v>
      </c>
      <c r="E436" s="422"/>
      <c r="F436" s="423">
        <v>54</v>
      </c>
      <c r="G436" s="352"/>
      <c r="H436" s="353"/>
      <c r="I436" s="353"/>
      <c r="J436" s="353"/>
      <c r="K436" s="353"/>
      <c r="L436" s="353"/>
      <c r="M436" s="353">
        <f>F436</f>
        <v>54</v>
      </c>
      <c r="N436" s="405"/>
      <c r="O436" s="352"/>
    </row>
    <row r="437" spans="1:15">
      <c r="A437" s="354"/>
      <c r="B437" s="354"/>
      <c r="C437" s="355"/>
      <c r="D437" s="356"/>
      <c r="E437" s="362"/>
      <c r="F437" s="358"/>
      <c r="G437" s="359"/>
      <c r="H437" s="360"/>
      <c r="I437" s="360"/>
      <c r="J437" s="360"/>
      <c r="K437" s="360"/>
      <c r="L437" s="360"/>
      <c r="M437" s="360"/>
      <c r="N437" s="406"/>
      <c r="O437" s="359"/>
    </row>
    <row r="438" spans="1:15" ht="31.5">
      <c r="A438" s="339" t="s">
        <v>1794</v>
      </c>
      <c r="B438" s="339" t="s">
        <v>160</v>
      </c>
      <c r="C438" s="340" t="s">
        <v>1051</v>
      </c>
      <c r="D438" s="446" t="s">
        <v>1795</v>
      </c>
      <c r="E438" s="342" t="s">
        <v>167</v>
      </c>
      <c r="F438" s="343"/>
      <c r="G438" s="344"/>
      <c r="H438" s="345"/>
      <c r="I438" s="345"/>
      <c r="J438" s="345"/>
      <c r="K438" s="345"/>
      <c r="L438" s="345"/>
      <c r="M438" s="346">
        <f>SUM(M439:M440)</f>
        <v>103</v>
      </c>
      <c r="N438" s="408"/>
      <c r="O438" s="409"/>
    </row>
    <row r="439" spans="1:15">
      <c r="A439" s="347"/>
      <c r="B439" s="347"/>
      <c r="C439" s="348"/>
      <c r="D439" s="421" t="s">
        <v>1782</v>
      </c>
      <c r="E439" s="422"/>
      <c r="F439" s="423">
        <v>103</v>
      </c>
      <c r="G439" s="352"/>
      <c r="H439" s="353"/>
      <c r="I439" s="353"/>
      <c r="J439" s="353"/>
      <c r="K439" s="353"/>
      <c r="L439" s="353"/>
      <c r="M439" s="353">
        <f>F439</f>
        <v>103</v>
      </c>
      <c r="N439" s="405"/>
      <c r="O439" s="352"/>
    </row>
    <row r="440" spans="1:15">
      <c r="A440" s="354"/>
      <c r="B440" s="354"/>
      <c r="C440" s="355"/>
      <c r="D440" s="356"/>
      <c r="E440" s="362"/>
      <c r="F440" s="358"/>
      <c r="G440" s="359"/>
      <c r="H440" s="360"/>
      <c r="I440" s="360"/>
      <c r="J440" s="360"/>
      <c r="K440" s="360"/>
      <c r="L440" s="360"/>
      <c r="M440" s="360"/>
      <c r="N440" s="406"/>
      <c r="O440" s="359"/>
    </row>
    <row r="441" spans="1:15">
      <c r="A441" s="447" t="s">
        <v>1796</v>
      </c>
      <c r="B441" s="448"/>
      <c r="C441" s="449"/>
      <c r="D441" s="450" t="s">
        <v>1054</v>
      </c>
      <c r="E441" s="451"/>
      <c r="F441" s="452"/>
      <c r="G441" s="453"/>
      <c r="H441" s="453"/>
      <c r="I441" s="453"/>
      <c r="J441" s="453"/>
      <c r="K441" s="453"/>
      <c r="L441" s="453"/>
      <c r="M441" s="454"/>
      <c r="N441" s="463"/>
      <c r="O441" s="454"/>
    </row>
    <row r="442" spans="1:15" ht="31.5">
      <c r="A442" s="339" t="s">
        <v>1797</v>
      </c>
      <c r="B442" s="339" t="s">
        <v>160</v>
      </c>
      <c r="C442" s="340" t="s">
        <v>1056</v>
      </c>
      <c r="D442" s="446" t="s">
        <v>1057</v>
      </c>
      <c r="E442" s="342" t="s">
        <v>167</v>
      </c>
      <c r="F442" s="343"/>
      <c r="G442" s="344"/>
      <c r="H442" s="345"/>
      <c r="I442" s="345"/>
      <c r="J442" s="345"/>
      <c r="K442" s="345"/>
      <c r="L442" s="345"/>
      <c r="M442" s="346">
        <f>SUM(M443:M444)</f>
        <v>58</v>
      </c>
      <c r="N442" s="408"/>
      <c r="O442" s="409"/>
    </row>
    <row r="443" spans="1:15">
      <c r="A443" s="347"/>
      <c r="B443" s="347"/>
      <c r="C443" s="348"/>
      <c r="D443" s="421" t="s">
        <v>1782</v>
      </c>
      <c r="E443" s="422"/>
      <c r="F443" s="423">
        <v>58</v>
      </c>
      <c r="G443" s="352"/>
      <c r="H443" s="353"/>
      <c r="I443" s="353"/>
      <c r="J443" s="353"/>
      <c r="K443" s="353"/>
      <c r="L443" s="353"/>
      <c r="M443" s="353">
        <f>F443</f>
        <v>58</v>
      </c>
      <c r="N443" s="405"/>
      <c r="O443" s="352"/>
    </row>
    <row r="444" spans="1:15">
      <c r="A444" s="354"/>
      <c r="B444" s="354"/>
      <c r="C444" s="355"/>
      <c r="D444" s="356"/>
      <c r="E444" s="362"/>
      <c r="F444" s="358"/>
      <c r="G444" s="359"/>
      <c r="H444" s="360"/>
      <c r="I444" s="360"/>
      <c r="J444" s="360"/>
      <c r="K444" s="360"/>
      <c r="L444" s="360"/>
      <c r="M444" s="360"/>
      <c r="N444" s="406"/>
      <c r="O444" s="359"/>
    </row>
    <row r="445" spans="1:15" ht="31.5">
      <c r="A445" s="339" t="s">
        <v>1798</v>
      </c>
      <c r="B445" s="339" t="s">
        <v>160</v>
      </c>
      <c r="C445" s="340" t="s">
        <v>1059</v>
      </c>
      <c r="D445" s="446" t="s">
        <v>1060</v>
      </c>
      <c r="E445" s="342" t="s">
        <v>167</v>
      </c>
      <c r="F445" s="343"/>
      <c r="G445" s="344"/>
      <c r="H445" s="345"/>
      <c r="I445" s="345"/>
      <c r="J445" s="345"/>
      <c r="K445" s="345"/>
      <c r="L445" s="345"/>
      <c r="M445" s="346">
        <f>SUM(M446:M447)</f>
        <v>26</v>
      </c>
      <c r="N445" s="408"/>
      <c r="O445" s="409"/>
    </row>
    <row r="446" spans="1:15">
      <c r="A446" s="347"/>
      <c r="B446" s="347"/>
      <c r="C446" s="348"/>
      <c r="D446" s="421" t="s">
        <v>1782</v>
      </c>
      <c r="E446" s="422"/>
      <c r="F446" s="423">
        <v>26</v>
      </c>
      <c r="G446" s="352"/>
      <c r="H446" s="353"/>
      <c r="I446" s="353"/>
      <c r="J446" s="353"/>
      <c r="K446" s="353"/>
      <c r="L446" s="353"/>
      <c r="M446" s="353">
        <f>F446</f>
        <v>26</v>
      </c>
      <c r="N446" s="405"/>
      <c r="O446" s="352"/>
    </row>
    <row r="447" spans="1:15">
      <c r="A447" s="354"/>
      <c r="B447" s="354"/>
      <c r="C447" s="355"/>
      <c r="D447" s="356"/>
      <c r="E447" s="362"/>
      <c r="F447" s="358"/>
      <c r="G447" s="359"/>
      <c r="H447" s="360"/>
      <c r="I447" s="360"/>
      <c r="J447" s="360"/>
      <c r="K447" s="360"/>
      <c r="L447" s="360"/>
      <c r="M447" s="360"/>
      <c r="N447" s="406"/>
      <c r="O447" s="359"/>
    </row>
    <row r="448" spans="1:15" ht="31.5">
      <c r="A448" s="339" t="s">
        <v>1799</v>
      </c>
      <c r="B448" s="339" t="s">
        <v>160</v>
      </c>
      <c r="C448" s="340" t="s">
        <v>1062</v>
      </c>
      <c r="D448" s="446" t="s">
        <v>1063</v>
      </c>
      <c r="E448" s="342" t="s">
        <v>167</v>
      </c>
      <c r="F448" s="343"/>
      <c r="G448" s="344"/>
      <c r="H448" s="345"/>
      <c r="I448" s="345"/>
      <c r="J448" s="345"/>
      <c r="K448" s="345"/>
      <c r="L448" s="345"/>
      <c r="M448" s="346">
        <f>SUM(M449:M450)</f>
        <v>2</v>
      </c>
      <c r="N448" s="408"/>
      <c r="O448" s="409"/>
    </row>
    <row r="449" spans="1:15">
      <c r="A449" s="347"/>
      <c r="B449" s="347"/>
      <c r="C449" s="348"/>
      <c r="D449" s="421" t="s">
        <v>1782</v>
      </c>
      <c r="E449" s="422"/>
      <c r="F449" s="423">
        <v>2</v>
      </c>
      <c r="G449" s="352"/>
      <c r="H449" s="353"/>
      <c r="I449" s="353"/>
      <c r="J449" s="353"/>
      <c r="K449" s="353"/>
      <c r="L449" s="353"/>
      <c r="M449" s="353">
        <f>F449</f>
        <v>2</v>
      </c>
      <c r="N449" s="405"/>
      <c r="O449" s="352"/>
    </row>
    <row r="450" spans="1:15">
      <c r="A450" s="354"/>
      <c r="B450" s="354"/>
      <c r="C450" s="355"/>
      <c r="D450" s="356"/>
      <c r="E450" s="362"/>
      <c r="F450" s="358"/>
      <c r="G450" s="359"/>
      <c r="H450" s="360"/>
      <c r="I450" s="360"/>
      <c r="J450" s="360"/>
      <c r="K450" s="360"/>
      <c r="L450" s="360"/>
      <c r="M450" s="360"/>
      <c r="N450" s="406"/>
      <c r="O450" s="359"/>
    </row>
    <row r="451" spans="1:15" ht="31.5">
      <c r="A451" s="339" t="s">
        <v>1800</v>
      </c>
      <c r="B451" s="339" t="s">
        <v>160</v>
      </c>
      <c r="C451" s="340" t="s">
        <v>1065</v>
      </c>
      <c r="D451" s="446" t="s">
        <v>1066</v>
      </c>
      <c r="E451" s="342" t="s">
        <v>167</v>
      </c>
      <c r="F451" s="343"/>
      <c r="G451" s="344"/>
      <c r="H451" s="345"/>
      <c r="I451" s="345"/>
      <c r="J451" s="345"/>
      <c r="K451" s="345"/>
      <c r="L451" s="345"/>
      <c r="M451" s="346">
        <f>SUM(M452:M453)</f>
        <v>3</v>
      </c>
      <c r="N451" s="408"/>
      <c r="O451" s="409"/>
    </row>
    <row r="452" spans="1:15">
      <c r="A452" s="347"/>
      <c r="B452" s="347"/>
      <c r="C452" s="348"/>
      <c r="D452" s="421" t="s">
        <v>1782</v>
      </c>
      <c r="E452" s="422"/>
      <c r="F452" s="423">
        <v>3</v>
      </c>
      <c r="G452" s="352"/>
      <c r="H452" s="353"/>
      <c r="I452" s="353"/>
      <c r="J452" s="353"/>
      <c r="K452" s="353"/>
      <c r="L452" s="353"/>
      <c r="M452" s="353">
        <f>F452</f>
        <v>3</v>
      </c>
      <c r="N452" s="405"/>
      <c r="O452" s="352"/>
    </row>
    <row r="453" spans="1:15">
      <c r="A453" s="354"/>
      <c r="B453" s="354"/>
      <c r="C453" s="355"/>
      <c r="D453" s="356"/>
      <c r="E453" s="362"/>
      <c r="F453" s="358"/>
      <c r="G453" s="359"/>
      <c r="H453" s="360"/>
      <c r="I453" s="360"/>
      <c r="J453" s="360"/>
      <c r="K453" s="360"/>
      <c r="L453" s="360"/>
      <c r="M453" s="360"/>
      <c r="N453" s="406"/>
      <c r="O453" s="359"/>
    </row>
    <row r="454" spans="1:15">
      <c r="A454" s="447" t="s">
        <v>1801</v>
      </c>
      <c r="B454" s="448"/>
      <c r="C454" s="449"/>
      <c r="D454" s="450" t="s">
        <v>1068</v>
      </c>
      <c r="E454" s="451"/>
      <c r="F454" s="452"/>
      <c r="G454" s="453"/>
      <c r="H454" s="453"/>
      <c r="I454" s="453"/>
      <c r="J454" s="453"/>
      <c r="K454" s="453"/>
      <c r="L454" s="453"/>
      <c r="M454" s="454"/>
      <c r="N454" s="463"/>
      <c r="O454" s="454"/>
    </row>
    <row r="455" spans="1:15" ht="31.5">
      <c r="A455" s="339" t="s">
        <v>1802</v>
      </c>
      <c r="B455" s="339" t="s">
        <v>160</v>
      </c>
      <c r="C455" s="340" t="s">
        <v>1070</v>
      </c>
      <c r="D455" s="446" t="s">
        <v>1071</v>
      </c>
      <c r="E455" s="342" t="s">
        <v>167</v>
      </c>
      <c r="F455" s="343"/>
      <c r="G455" s="344"/>
      <c r="H455" s="345"/>
      <c r="I455" s="345"/>
      <c r="J455" s="345"/>
      <c r="K455" s="345"/>
      <c r="L455" s="345"/>
      <c r="M455" s="346">
        <f>SUM(M456:M457)</f>
        <v>32</v>
      </c>
      <c r="N455" s="408"/>
      <c r="O455" s="409"/>
    </row>
    <row r="456" spans="1:15">
      <c r="A456" s="347"/>
      <c r="B456" s="347"/>
      <c r="C456" s="348"/>
      <c r="D456" s="421" t="s">
        <v>1782</v>
      </c>
      <c r="E456" s="422"/>
      <c r="F456" s="423">
        <v>32</v>
      </c>
      <c r="G456" s="352"/>
      <c r="H456" s="353"/>
      <c r="I456" s="353"/>
      <c r="J456" s="353"/>
      <c r="K456" s="353"/>
      <c r="L456" s="353"/>
      <c r="M456" s="353">
        <f>F456</f>
        <v>32</v>
      </c>
      <c r="N456" s="405"/>
      <c r="O456" s="352"/>
    </row>
    <row r="457" spans="1:15">
      <c r="A457" s="354"/>
      <c r="B457" s="354"/>
      <c r="C457" s="355"/>
      <c r="D457" s="356"/>
      <c r="E457" s="362"/>
      <c r="F457" s="358"/>
      <c r="G457" s="359"/>
      <c r="H457" s="360"/>
      <c r="I457" s="360"/>
      <c r="J457" s="360"/>
      <c r="K457" s="360"/>
      <c r="L457" s="360"/>
      <c r="M457" s="360"/>
      <c r="N457" s="406"/>
      <c r="O457" s="359"/>
    </row>
    <row r="458" spans="1:15" ht="31.5">
      <c r="A458" s="339" t="s">
        <v>1803</v>
      </c>
      <c r="B458" s="339" t="s">
        <v>160</v>
      </c>
      <c r="C458" s="340" t="s">
        <v>1073</v>
      </c>
      <c r="D458" s="446" t="s">
        <v>1074</v>
      </c>
      <c r="E458" s="342" t="s">
        <v>167</v>
      </c>
      <c r="F458" s="343"/>
      <c r="G458" s="344"/>
      <c r="H458" s="345"/>
      <c r="I458" s="345"/>
      <c r="J458" s="345"/>
      <c r="K458" s="345"/>
      <c r="L458" s="345"/>
      <c r="M458" s="346">
        <f>SUM(M459:M460)</f>
        <v>3</v>
      </c>
      <c r="N458" s="408"/>
      <c r="O458" s="409"/>
    </row>
    <row r="459" spans="1:15">
      <c r="A459" s="347"/>
      <c r="B459" s="347"/>
      <c r="C459" s="348"/>
      <c r="D459" s="421" t="s">
        <v>1782</v>
      </c>
      <c r="E459" s="422"/>
      <c r="F459" s="423">
        <v>3</v>
      </c>
      <c r="G459" s="352"/>
      <c r="H459" s="353"/>
      <c r="I459" s="353"/>
      <c r="J459" s="353"/>
      <c r="K459" s="353"/>
      <c r="L459" s="353"/>
      <c r="M459" s="353">
        <f>F459</f>
        <v>3</v>
      </c>
      <c r="N459" s="405"/>
      <c r="O459" s="352"/>
    </row>
    <row r="460" spans="1:15">
      <c r="A460" s="354"/>
      <c r="B460" s="354"/>
      <c r="C460" s="355"/>
      <c r="D460" s="356"/>
      <c r="E460" s="362"/>
      <c r="F460" s="358"/>
      <c r="G460" s="359"/>
      <c r="H460" s="360"/>
      <c r="I460" s="360"/>
      <c r="J460" s="360"/>
      <c r="K460" s="360"/>
      <c r="L460" s="360"/>
      <c r="M460" s="360"/>
      <c r="N460" s="406"/>
      <c r="O460" s="359"/>
    </row>
    <row r="461" spans="1:15">
      <c r="A461" s="447" t="s">
        <v>1804</v>
      </c>
      <c r="B461" s="448"/>
      <c r="C461" s="449"/>
      <c r="D461" s="450" t="s">
        <v>1076</v>
      </c>
      <c r="E461" s="451"/>
      <c r="F461" s="452"/>
      <c r="G461" s="453"/>
      <c r="H461" s="453"/>
      <c r="I461" s="453"/>
      <c r="J461" s="453"/>
      <c r="K461" s="453"/>
      <c r="L461" s="453"/>
      <c r="M461" s="454"/>
      <c r="N461" s="463"/>
      <c r="O461" s="454"/>
    </row>
    <row r="462" spans="1:15" ht="47.25">
      <c r="A462" s="339" t="s">
        <v>1805</v>
      </c>
      <c r="B462" s="339" t="s">
        <v>160</v>
      </c>
      <c r="C462" s="340" t="s">
        <v>1078</v>
      </c>
      <c r="D462" s="446" t="s">
        <v>1079</v>
      </c>
      <c r="E462" s="342" t="s">
        <v>167</v>
      </c>
      <c r="F462" s="343"/>
      <c r="G462" s="344"/>
      <c r="H462" s="345"/>
      <c r="I462" s="345"/>
      <c r="J462" s="345"/>
      <c r="K462" s="345"/>
      <c r="L462" s="345"/>
      <c r="M462" s="346">
        <f>SUM(M463:M464)</f>
        <v>2</v>
      </c>
      <c r="N462" s="408"/>
      <c r="O462" s="409"/>
    </row>
    <row r="463" spans="1:15">
      <c r="A463" s="347"/>
      <c r="B463" s="347"/>
      <c r="C463" s="348"/>
      <c r="D463" s="421" t="s">
        <v>1782</v>
      </c>
      <c r="E463" s="422"/>
      <c r="F463" s="423">
        <v>2</v>
      </c>
      <c r="G463" s="352"/>
      <c r="H463" s="353"/>
      <c r="I463" s="353"/>
      <c r="J463" s="353"/>
      <c r="K463" s="353"/>
      <c r="L463" s="353"/>
      <c r="M463" s="353">
        <f>F463</f>
        <v>2</v>
      </c>
      <c r="N463" s="405"/>
      <c r="O463" s="352"/>
    </row>
    <row r="464" spans="1:15">
      <c r="A464" s="354"/>
      <c r="B464" s="354"/>
      <c r="C464" s="355"/>
      <c r="D464" s="356"/>
      <c r="E464" s="362"/>
      <c r="F464" s="358"/>
      <c r="G464" s="359"/>
      <c r="H464" s="360"/>
      <c r="I464" s="360"/>
      <c r="J464" s="360"/>
      <c r="K464" s="360"/>
      <c r="L464" s="360"/>
      <c r="M464" s="360"/>
      <c r="N464" s="406"/>
      <c r="O464" s="359"/>
    </row>
    <row r="465" spans="1:15" ht="47.25">
      <c r="A465" s="339" t="s">
        <v>1806</v>
      </c>
      <c r="B465" s="339" t="s">
        <v>160</v>
      </c>
      <c r="C465" s="340" t="s">
        <v>1081</v>
      </c>
      <c r="D465" s="446" t="s">
        <v>1082</v>
      </c>
      <c r="E465" s="342" t="s">
        <v>167</v>
      </c>
      <c r="F465" s="343"/>
      <c r="G465" s="344"/>
      <c r="H465" s="345"/>
      <c r="I465" s="345"/>
      <c r="J465" s="345"/>
      <c r="K465" s="345"/>
      <c r="L465" s="345"/>
      <c r="M465" s="346">
        <f>SUM(M466:M467)</f>
        <v>2</v>
      </c>
      <c r="N465" s="408"/>
      <c r="O465" s="409"/>
    </row>
    <row r="466" spans="1:15">
      <c r="A466" s="347"/>
      <c r="B466" s="347"/>
      <c r="C466" s="348"/>
      <c r="D466" s="421" t="s">
        <v>1782</v>
      </c>
      <c r="E466" s="422"/>
      <c r="F466" s="423">
        <v>2</v>
      </c>
      <c r="G466" s="352"/>
      <c r="H466" s="353"/>
      <c r="I466" s="353"/>
      <c r="J466" s="353"/>
      <c r="K466" s="353"/>
      <c r="L466" s="353"/>
      <c r="M466" s="353">
        <f>F466</f>
        <v>2</v>
      </c>
      <c r="N466" s="405"/>
      <c r="O466" s="352"/>
    </row>
    <row r="467" spans="1:15">
      <c r="A467" s="354"/>
      <c r="B467" s="354"/>
      <c r="C467" s="355"/>
      <c r="D467" s="356"/>
      <c r="E467" s="362"/>
      <c r="F467" s="358"/>
      <c r="G467" s="359"/>
      <c r="H467" s="360"/>
      <c r="I467" s="360"/>
      <c r="J467" s="360"/>
      <c r="K467" s="360"/>
      <c r="L467" s="360"/>
      <c r="M467" s="360"/>
      <c r="N467" s="406"/>
      <c r="O467" s="359"/>
    </row>
    <row r="468" spans="1:15" ht="47.25">
      <c r="A468" s="339" t="s">
        <v>1807</v>
      </c>
      <c r="B468" s="339" t="s">
        <v>160</v>
      </c>
      <c r="C468" s="340" t="s">
        <v>1084</v>
      </c>
      <c r="D468" s="446" t="s">
        <v>1085</v>
      </c>
      <c r="E468" s="342" t="s">
        <v>167</v>
      </c>
      <c r="F468" s="343"/>
      <c r="G468" s="344"/>
      <c r="H468" s="345"/>
      <c r="I468" s="345"/>
      <c r="J468" s="345"/>
      <c r="K468" s="345"/>
      <c r="L468" s="345"/>
      <c r="M468" s="346">
        <f>SUM(M469:M470)</f>
        <v>3</v>
      </c>
      <c r="N468" s="408"/>
      <c r="O468" s="409"/>
    </row>
    <row r="469" spans="1:15">
      <c r="A469" s="347"/>
      <c r="B469" s="347"/>
      <c r="C469" s="348"/>
      <c r="D469" s="421" t="s">
        <v>1782</v>
      </c>
      <c r="E469" s="422"/>
      <c r="F469" s="423">
        <v>3</v>
      </c>
      <c r="G469" s="352"/>
      <c r="H469" s="353"/>
      <c r="I469" s="353"/>
      <c r="J469" s="353"/>
      <c r="K469" s="353"/>
      <c r="L469" s="353"/>
      <c r="M469" s="353">
        <f>F469</f>
        <v>3</v>
      </c>
      <c r="N469" s="405"/>
      <c r="O469" s="352"/>
    </row>
    <row r="470" spans="1:15">
      <c r="A470" s="354"/>
      <c r="B470" s="354"/>
      <c r="C470" s="355"/>
      <c r="D470" s="356"/>
      <c r="E470" s="362"/>
      <c r="F470" s="358"/>
      <c r="G470" s="359"/>
      <c r="H470" s="360"/>
      <c r="I470" s="360"/>
      <c r="J470" s="360"/>
      <c r="K470" s="360"/>
      <c r="L470" s="360"/>
      <c r="M470" s="360"/>
      <c r="N470" s="406"/>
      <c r="O470" s="359"/>
    </row>
    <row r="471" spans="1:15" ht="47.25">
      <c r="A471" s="339" t="s">
        <v>1808</v>
      </c>
      <c r="B471" s="339" t="s">
        <v>160</v>
      </c>
      <c r="C471" s="340" t="s">
        <v>1087</v>
      </c>
      <c r="D471" s="446" t="s">
        <v>1088</v>
      </c>
      <c r="E471" s="342" t="s">
        <v>167</v>
      </c>
      <c r="F471" s="343"/>
      <c r="G471" s="344"/>
      <c r="H471" s="345"/>
      <c r="I471" s="345"/>
      <c r="J471" s="345"/>
      <c r="K471" s="345"/>
      <c r="L471" s="345"/>
      <c r="M471" s="346">
        <f>SUM(M472:M473)</f>
        <v>1</v>
      </c>
      <c r="N471" s="408"/>
      <c r="O471" s="409"/>
    </row>
    <row r="472" spans="1:15">
      <c r="A472" s="347"/>
      <c r="B472" s="347"/>
      <c r="C472" s="348"/>
      <c r="D472" s="421" t="s">
        <v>1782</v>
      </c>
      <c r="E472" s="422"/>
      <c r="F472" s="423">
        <v>1</v>
      </c>
      <c r="G472" s="352"/>
      <c r="H472" s="353"/>
      <c r="I472" s="353"/>
      <c r="J472" s="353"/>
      <c r="K472" s="353"/>
      <c r="L472" s="353"/>
      <c r="M472" s="353">
        <f>F472</f>
        <v>1</v>
      </c>
      <c r="N472" s="405"/>
      <c r="O472" s="352"/>
    </row>
    <row r="473" spans="1:15">
      <c r="A473" s="354"/>
      <c r="B473" s="354"/>
      <c r="C473" s="355"/>
      <c r="D473" s="356"/>
      <c r="E473" s="362"/>
      <c r="F473" s="358"/>
      <c r="G473" s="359"/>
      <c r="H473" s="360"/>
      <c r="I473" s="360"/>
      <c r="J473" s="360"/>
      <c r="K473" s="360"/>
      <c r="L473" s="360"/>
      <c r="M473" s="360"/>
      <c r="N473" s="406"/>
      <c r="O473" s="359"/>
    </row>
    <row r="474" spans="1:15">
      <c r="A474" s="447" t="s">
        <v>1809</v>
      </c>
      <c r="B474" s="448"/>
      <c r="C474" s="449"/>
      <c r="D474" s="450" t="s">
        <v>1090</v>
      </c>
      <c r="E474" s="451"/>
      <c r="F474" s="452"/>
      <c r="G474" s="453"/>
      <c r="H474" s="453"/>
      <c r="I474" s="453"/>
      <c r="J474" s="453"/>
      <c r="K474" s="453"/>
      <c r="L474" s="453"/>
      <c r="M474" s="454"/>
      <c r="N474" s="463"/>
      <c r="O474" s="454"/>
    </row>
    <row r="475" spans="1:15" ht="31.5">
      <c r="A475" s="339" t="s">
        <v>1810</v>
      </c>
      <c r="B475" s="339" t="s">
        <v>160</v>
      </c>
      <c r="C475" s="340" t="s">
        <v>1092</v>
      </c>
      <c r="D475" s="446" t="s">
        <v>1811</v>
      </c>
      <c r="E475" s="342" t="s">
        <v>167</v>
      </c>
      <c r="F475" s="343"/>
      <c r="G475" s="344"/>
      <c r="H475" s="345"/>
      <c r="I475" s="345"/>
      <c r="J475" s="345"/>
      <c r="K475" s="345"/>
      <c r="L475" s="345"/>
      <c r="M475" s="346">
        <f>SUM(M476:M477)</f>
        <v>12</v>
      </c>
      <c r="N475" s="408"/>
      <c r="O475" s="409"/>
    </row>
    <row r="476" spans="1:15">
      <c r="A476" s="347"/>
      <c r="B476" s="347"/>
      <c r="C476" s="348"/>
      <c r="D476" s="421" t="s">
        <v>1782</v>
      </c>
      <c r="E476" s="422"/>
      <c r="F476" s="423">
        <v>12</v>
      </c>
      <c r="G476" s="352"/>
      <c r="H476" s="353"/>
      <c r="I476" s="353"/>
      <c r="J476" s="353"/>
      <c r="K476" s="353"/>
      <c r="L476" s="353"/>
      <c r="M476" s="353">
        <f>F476</f>
        <v>12</v>
      </c>
      <c r="N476" s="405"/>
      <c r="O476" s="352"/>
    </row>
    <row r="477" spans="1:15">
      <c r="A477" s="354"/>
      <c r="B477" s="354"/>
      <c r="C477" s="355"/>
      <c r="D477" s="356"/>
      <c r="E477" s="362"/>
      <c r="F477" s="358"/>
      <c r="G477" s="359"/>
      <c r="H477" s="360"/>
      <c r="I477" s="360"/>
      <c r="J477" s="360"/>
      <c r="K477" s="360"/>
      <c r="L477" s="360"/>
      <c r="M477" s="360"/>
      <c r="N477" s="406"/>
      <c r="O477" s="359"/>
    </row>
    <row r="478" spans="1:15" ht="31.5">
      <c r="A478" s="339" t="s">
        <v>1812</v>
      </c>
      <c r="B478" s="339" t="s">
        <v>160</v>
      </c>
      <c r="C478" s="340" t="s">
        <v>1095</v>
      </c>
      <c r="D478" s="446" t="s">
        <v>1813</v>
      </c>
      <c r="E478" s="342" t="s">
        <v>167</v>
      </c>
      <c r="F478" s="343"/>
      <c r="G478" s="344"/>
      <c r="H478" s="345"/>
      <c r="I478" s="345"/>
      <c r="J478" s="345"/>
      <c r="K478" s="345"/>
      <c r="L478" s="345"/>
      <c r="M478" s="346">
        <f>SUM(M479:M480)</f>
        <v>54</v>
      </c>
      <c r="N478" s="408"/>
      <c r="O478" s="409"/>
    </row>
    <row r="479" spans="1:15">
      <c r="A479" s="347"/>
      <c r="B479" s="347"/>
      <c r="C479" s="348"/>
      <c r="D479" s="421" t="s">
        <v>1782</v>
      </c>
      <c r="E479" s="422"/>
      <c r="F479" s="423">
        <v>54</v>
      </c>
      <c r="G479" s="352"/>
      <c r="H479" s="353"/>
      <c r="I479" s="353"/>
      <c r="J479" s="353"/>
      <c r="K479" s="353"/>
      <c r="L479" s="353"/>
      <c r="M479" s="353">
        <f>F479</f>
        <v>54</v>
      </c>
      <c r="N479" s="405"/>
      <c r="O479" s="352"/>
    </row>
    <row r="480" spans="1:15">
      <c r="A480" s="354"/>
      <c r="B480" s="354"/>
      <c r="C480" s="355"/>
      <c r="D480" s="356"/>
      <c r="E480" s="362"/>
      <c r="F480" s="358"/>
      <c r="G480" s="359"/>
      <c r="H480" s="360"/>
      <c r="I480" s="360"/>
      <c r="J480" s="360"/>
      <c r="K480" s="360"/>
      <c r="L480" s="360"/>
      <c r="M480" s="360"/>
      <c r="N480" s="406"/>
      <c r="O480" s="359"/>
    </row>
    <row r="481" spans="1:15" ht="31.5">
      <c r="A481" s="339" t="s">
        <v>1814</v>
      </c>
      <c r="B481" s="339" t="s">
        <v>160</v>
      </c>
      <c r="C481" s="340" t="s">
        <v>1098</v>
      </c>
      <c r="D481" s="446" t="s">
        <v>1815</v>
      </c>
      <c r="E481" s="342" t="s">
        <v>167</v>
      </c>
      <c r="F481" s="343"/>
      <c r="G481" s="344"/>
      <c r="H481" s="345"/>
      <c r="I481" s="345"/>
      <c r="J481" s="345"/>
      <c r="K481" s="345"/>
      <c r="L481" s="345"/>
      <c r="M481" s="346">
        <f>SUM(M482:M483)</f>
        <v>103</v>
      </c>
      <c r="N481" s="408"/>
      <c r="O481" s="409"/>
    </row>
    <row r="482" spans="1:15">
      <c r="A482" s="347"/>
      <c r="B482" s="347"/>
      <c r="C482" s="348"/>
      <c r="D482" s="421" t="s">
        <v>1782</v>
      </c>
      <c r="E482" s="422"/>
      <c r="F482" s="423">
        <v>103</v>
      </c>
      <c r="G482" s="352"/>
      <c r="H482" s="353"/>
      <c r="I482" s="353"/>
      <c r="J482" s="353"/>
      <c r="K482" s="353"/>
      <c r="L482" s="353"/>
      <c r="M482" s="353">
        <f>F482</f>
        <v>103</v>
      </c>
      <c r="N482" s="405"/>
      <c r="O482" s="352"/>
    </row>
    <row r="483" spans="1:15">
      <c r="A483" s="354"/>
      <c r="B483" s="354"/>
      <c r="C483" s="355"/>
      <c r="D483" s="356"/>
      <c r="E483" s="362"/>
      <c r="F483" s="358"/>
      <c r="G483" s="359"/>
      <c r="H483" s="360"/>
      <c r="I483" s="360"/>
      <c r="J483" s="360"/>
      <c r="K483" s="360"/>
      <c r="L483" s="360"/>
      <c r="M483" s="360"/>
      <c r="N483" s="406"/>
      <c r="O483" s="359"/>
    </row>
    <row r="484" spans="1:15" ht="31.5">
      <c r="A484" s="339" t="s">
        <v>1816</v>
      </c>
      <c r="B484" s="339" t="s">
        <v>160</v>
      </c>
      <c r="C484" s="340" t="s">
        <v>1101</v>
      </c>
      <c r="D484" s="446" t="s">
        <v>1817</v>
      </c>
      <c r="E484" s="342" t="s">
        <v>167</v>
      </c>
      <c r="F484" s="343"/>
      <c r="G484" s="344"/>
      <c r="H484" s="345"/>
      <c r="I484" s="345"/>
      <c r="J484" s="345"/>
      <c r="K484" s="345"/>
      <c r="L484" s="345"/>
      <c r="M484" s="346">
        <f>SUM(M485:M486)</f>
        <v>1</v>
      </c>
      <c r="N484" s="408"/>
      <c r="O484" s="409"/>
    </row>
    <row r="485" spans="1:15">
      <c r="A485" s="347"/>
      <c r="B485" s="347"/>
      <c r="C485" s="348"/>
      <c r="D485" s="421" t="s">
        <v>1782</v>
      </c>
      <c r="E485" s="422"/>
      <c r="F485" s="423">
        <v>1</v>
      </c>
      <c r="G485" s="352"/>
      <c r="H485" s="353"/>
      <c r="I485" s="353"/>
      <c r="J485" s="353"/>
      <c r="K485" s="353"/>
      <c r="L485" s="353"/>
      <c r="M485" s="353">
        <f>F485</f>
        <v>1</v>
      </c>
      <c r="N485" s="405"/>
      <c r="O485" s="352"/>
    </row>
    <row r="486" spans="1:15">
      <c r="A486" s="354"/>
      <c r="B486" s="354"/>
      <c r="C486" s="355"/>
      <c r="D486" s="356"/>
      <c r="E486" s="362"/>
      <c r="F486" s="358"/>
      <c r="G486" s="359"/>
      <c r="H486" s="360"/>
      <c r="I486" s="360"/>
      <c r="J486" s="360"/>
      <c r="K486" s="360"/>
      <c r="L486" s="360"/>
      <c r="M486" s="360"/>
      <c r="N486" s="406"/>
      <c r="O486" s="359"/>
    </row>
    <row r="487" spans="1:15">
      <c r="A487" s="447" t="s">
        <v>1818</v>
      </c>
      <c r="B487" s="448"/>
      <c r="C487" s="449"/>
      <c r="D487" s="450" t="s">
        <v>1104</v>
      </c>
      <c r="E487" s="451"/>
      <c r="F487" s="452"/>
      <c r="G487" s="453"/>
      <c r="H487" s="453"/>
      <c r="I487" s="453"/>
      <c r="J487" s="453"/>
      <c r="K487" s="453"/>
      <c r="L487" s="453"/>
      <c r="M487" s="454"/>
      <c r="N487" s="463"/>
      <c r="O487" s="454"/>
    </row>
    <row r="488" spans="1:15" ht="31.5">
      <c r="A488" s="339" t="s">
        <v>1819</v>
      </c>
      <c r="B488" s="339" t="s">
        <v>160</v>
      </c>
      <c r="C488" s="340" t="s">
        <v>1106</v>
      </c>
      <c r="D488" s="446" t="s">
        <v>1107</v>
      </c>
      <c r="E488" s="342" t="s">
        <v>167</v>
      </c>
      <c r="F488" s="343"/>
      <c r="G488" s="344"/>
      <c r="H488" s="345"/>
      <c r="I488" s="345"/>
      <c r="J488" s="345"/>
      <c r="K488" s="345"/>
      <c r="L488" s="345"/>
      <c r="M488" s="346">
        <f>SUM(M489:M490)</f>
        <v>6</v>
      </c>
      <c r="N488" s="408"/>
      <c r="O488" s="409"/>
    </row>
    <row r="489" spans="1:15">
      <c r="A489" s="347"/>
      <c r="B489" s="347"/>
      <c r="C489" s="348"/>
      <c r="D489" s="421" t="s">
        <v>1782</v>
      </c>
      <c r="E489" s="422"/>
      <c r="F489" s="423">
        <v>6</v>
      </c>
      <c r="G489" s="352"/>
      <c r="H489" s="353"/>
      <c r="I489" s="353"/>
      <c r="J489" s="353"/>
      <c r="K489" s="353"/>
      <c r="L489" s="353"/>
      <c r="M489" s="353">
        <f>F489</f>
        <v>6</v>
      </c>
      <c r="N489" s="405"/>
      <c r="O489" s="352"/>
    </row>
    <row r="490" spans="1:15">
      <c r="A490" s="354"/>
      <c r="B490" s="354"/>
      <c r="C490" s="355"/>
      <c r="D490" s="356"/>
      <c r="E490" s="362"/>
      <c r="F490" s="358"/>
      <c r="G490" s="359"/>
      <c r="H490" s="360"/>
      <c r="I490" s="360"/>
      <c r="J490" s="360"/>
      <c r="K490" s="360"/>
      <c r="L490" s="360"/>
      <c r="M490" s="360"/>
      <c r="N490" s="406"/>
      <c r="O490" s="359"/>
    </row>
    <row r="491" spans="1:15">
      <c r="A491" s="447" t="s">
        <v>1820</v>
      </c>
      <c r="B491" s="448"/>
      <c r="C491" s="449"/>
      <c r="D491" s="450" t="s">
        <v>1109</v>
      </c>
      <c r="E491" s="451"/>
      <c r="F491" s="452"/>
      <c r="G491" s="453"/>
      <c r="H491" s="453"/>
      <c r="I491" s="453"/>
      <c r="J491" s="453"/>
      <c r="K491" s="453"/>
      <c r="L491" s="453"/>
      <c r="M491" s="454"/>
      <c r="N491" s="463"/>
      <c r="O491" s="454"/>
    </row>
    <row r="492" spans="1:15" ht="31.5">
      <c r="A492" s="339" t="s">
        <v>1821</v>
      </c>
      <c r="B492" s="339" t="s">
        <v>160</v>
      </c>
      <c r="C492" s="340" t="s">
        <v>1111</v>
      </c>
      <c r="D492" s="446" t="s">
        <v>1112</v>
      </c>
      <c r="E492" s="342" t="s">
        <v>167</v>
      </c>
      <c r="F492" s="343"/>
      <c r="G492" s="344"/>
      <c r="H492" s="345"/>
      <c r="I492" s="345"/>
      <c r="J492" s="345"/>
      <c r="K492" s="345"/>
      <c r="L492" s="345"/>
      <c r="M492" s="346">
        <f>SUM(M493:M494)</f>
        <v>3</v>
      </c>
      <c r="N492" s="408"/>
      <c r="O492" s="409"/>
    </row>
    <row r="493" spans="1:15">
      <c r="A493" s="347"/>
      <c r="B493" s="347"/>
      <c r="C493" s="348"/>
      <c r="D493" s="421" t="s">
        <v>1782</v>
      </c>
      <c r="E493" s="422"/>
      <c r="F493" s="423">
        <v>3</v>
      </c>
      <c r="G493" s="352"/>
      <c r="H493" s="353"/>
      <c r="I493" s="353"/>
      <c r="J493" s="353"/>
      <c r="K493" s="353"/>
      <c r="L493" s="353"/>
      <c r="M493" s="353">
        <f>F493</f>
        <v>3</v>
      </c>
      <c r="N493" s="405"/>
      <c r="O493" s="352"/>
    </row>
    <row r="494" spans="1:15">
      <c r="A494" s="354"/>
      <c r="B494" s="354"/>
      <c r="C494" s="355"/>
      <c r="D494" s="356"/>
      <c r="E494" s="362"/>
      <c r="F494" s="358"/>
      <c r="G494" s="359"/>
      <c r="H494" s="360"/>
      <c r="I494" s="360"/>
      <c r="J494" s="360"/>
      <c r="K494" s="360"/>
      <c r="L494" s="360"/>
      <c r="M494" s="360"/>
      <c r="N494" s="406"/>
      <c r="O494" s="359"/>
    </row>
    <row r="495" spans="1:15">
      <c r="A495" s="447" t="s">
        <v>1822</v>
      </c>
      <c r="B495" s="448"/>
      <c r="C495" s="449"/>
      <c r="D495" s="450" t="s">
        <v>1114</v>
      </c>
      <c r="E495" s="451"/>
      <c r="F495" s="452"/>
      <c r="G495" s="453"/>
      <c r="H495" s="453"/>
      <c r="I495" s="453"/>
      <c r="J495" s="453"/>
      <c r="K495" s="453"/>
      <c r="L495" s="453"/>
      <c r="M495" s="454"/>
      <c r="N495" s="463"/>
      <c r="O495" s="454"/>
    </row>
    <row r="496" spans="1:15" ht="31.5">
      <c r="A496" s="339" t="s">
        <v>1823</v>
      </c>
      <c r="B496" s="339" t="s">
        <v>160</v>
      </c>
      <c r="C496" s="340" t="s">
        <v>1116</v>
      </c>
      <c r="D496" s="446" t="s">
        <v>1117</v>
      </c>
      <c r="E496" s="342" t="s">
        <v>167</v>
      </c>
      <c r="F496" s="343"/>
      <c r="G496" s="344"/>
      <c r="H496" s="345"/>
      <c r="I496" s="345"/>
      <c r="J496" s="345"/>
      <c r="K496" s="345"/>
      <c r="L496" s="345"/>
      <c r="M496" s="346">
        <f>SUM(M497:M498)</f>
        <v>46</v>
      </c>
      <c r="N496" s="408"/>
      <c r="O496" s="409"/>
    </row>
    <row r="497" spans="1:15">
      <c r="A497" s="347"/>
      <c r="B497" s="347"/>
      <c r="C497" s="348"/>
      <c r="D497" s="421" t="s">
        <v>1782</v>
      </c>
      <c r="E497" s="422"/>
      <c r="F497" s="423">
        <v>46</v>
      </c>
      <c r="G497" s="352"/>
      <c r="H497" s="353"/>
      <c r="I497" s="353"/>
      <c r="J497" s="353"/>
      <c r="K497" s="353"/>
      <c r="L497" s="353"/>
      <c r="M497" s="353">
        <f>F497</f>
        <v>46</v>
      </c>
      <c r="N497" s="405"/>
      <c r="O497" s="352"/>
    </row>
    <row r="498" spans="1:15">
      <c r="A498" s="354"/>
      <c r="B498" s="354"/>
      <c r="C498" s="355"/>
      <c r="D498" s="356"/>
      <c r="E498" s="362"/>
      <c r="F498" s="358"/>
      <c r="G498" s="359"/>
      <c r="H498" s="360"/>
      <c r="I498" s="360"/>
      <c r="J498" s="360"/>
      <c r="K498" s="360"/>
      <c r="L498" s="360"/>
      <c r="M498" s="360"/>
      <c r="N498" s="406"/>
      <c r="O498" s="359"/>
    </row>
    <row r="499" spans="1:15" ht="141.75">
      <c r="A499" s="339" t="s">
        <v>1824</v>
      </c>
      <c r="B499" s="339" t="s">
        <v>160</v>
      </c>
      <c r="C499" s="340" t="s">
        <v>1119</v>
      </c>
      <c r="D499" s="446" t="s">
        <v>1120</v>
      </c>
      <c r="E499" s="342" t="s">
        <v>167</v>
      </c>
      <c r="F499" s="343"/>
      <c r="G499" s="344"/>
      <c r="H499" s="345"/>
      <c r="I499" s="345"/>
      <c r="J499" s="345"/>
      <c r="K499" s="345"/>
      <c r="L499" s="345"/>
      <c r="M499" s="346">
        <f>SUM(M500:M501)</f>
        <v>1</v>
      </c>
      <c r="N499" s="408"/>
      <c r="O499" s="409"/>
    </row>
    <row r="500" spans="1:15">
      <c r="A500" s="347"/>
      <c r="B500" s="347"/>
      <c r="C500" s="348"/>
      <c r="D500" s="421" t="s">
        <v>1782</v>
      </c>
      <c r="E500" s="422"/>
      <c r="F500" s="423">
        <v>1</v>
      </c>
      <c r="G500" s="352"/>
      <c r="H500" s="353"/>
      <c r="I500" s="353"/>
      <c r="J500" s="353"/>
      <c r="K500" s="353"/>
      <c r="L500" s="353"/>
      <c r="M500" s="353">
        <f>F500</f>
        <v>1</v>
      </c>
      <c r="N500" s="405"/>
      <c r="O500" s="352"/>
    </row>
    <row r="501" spans="1:15">
      <c r="A501" s="354"/>
      <c r="B501" s="354"/>
      <c r="C501" s="355"/>
      <c r="D501" s="356"/>
      <c r="E501" s="362"/>
      <c r="F501" s="358"/>
      <c r="G501" s="359"/>
      <c r="H501" s="360"/>
      <c r="I501" s="360"/>
      <c r="J501" s="360"/>
      <c r="K501" s="360"/>
      <c r="L501" s="360"/>
      <c r="M501" s="360"/>
      <c r="N501" s="406"/>
      <c r="O501" s="359"/>
    </row>
    <row r="502" spans="1:15" ht="141.75">
      <c r="A502" s="339" t="s">
        <v>1825</v>
      </c>
      <c r="B502" s="339" t="s">
        <v>160</v>
      </c>
      <c r="C502" s="340" t="s">
        <v>1122</v>
      </c>
      <c r="D502" s="446" t="s">
        <v>1123</v>
      </c>
      <c r="E502" s="342" t="s">
        <v>167</v>
      </c>
      <c r="F502" s="343"/>
      <c r="G502" s="344"/>
      <c r="H502" s="345"/>
      <c r="I502" s="345"/>
      <c r="J502" s="345"/>
      <c r="K502" s="345"/>
      <c r="L502" s="345"/>
      <c r="M502" s="346">
        <f>SUM(M503:M504)</f>
        <v>1</v>
      </c>
      <c r="N502" s="408"/>
      <c r="O502" s="409"/>
    </row>
    <row r="503" spans="1:15">
      <c r="A503" s="347"/>
      <c r="B503" s="347"/>
      <c r="C503" s="348"/>
      <c r="D503" s="421" t="s">
        <v>1782</v>
      </c>
      <c r="E503" s="422"/>
      <c r="F503" s="423">
        <v>1</v>
      </c>
      <c r="G503" s="352"/>
      <c r="H503" s="353"/>
      <c r="I503" s="353"/>
      <c r="J503" s="353"/>
      <c r="K503" s="353"/>
      <c r="L503" s="353"/>
      <c r="M503" s="353">
        <f>F503</f>
        <v>1</v>
      </c>
      <c r="N503" s="405"/>
      <c r="O503" s="352"/>
    </row>
    <row r="504" spans="1:15">
      <c r="A504" s="354"/>
      <c r="B504" s="354"/>
      <c r="C504" s="355"/>
      <c r="D504" s="356"/>
      <c r="E504" s="362"/>
      <c r="F504" s="358"/>
      <c r="G504" s="359"/>
      <c r="H504" s="360"/>
      <c r="I504" s="360"/>
      <c r="J504" s="360"/>
      <c r="K504" s="360"/>
      <c r="L504" s="360"/>
      <c r="M504" s="360"/>
      <c r="N504" s="406"/>
      <c r="O504" s="359"/>
    </row>
    <row r="505" spans="1:15" ht="141.75">
      <c r="A505" s="339" t="s">
        <v>1826</v>
      </c>
      <c r="B505" s="339" t="s">
        <v>160</v>
      </c>
      <c r="C505" s="340" t="s">
        <v>1125</v>
      </c>
      <c r="D505" s="446" t="s">
        <v>1126</v>
      </c>
      <c r="E505" s="342" t="s">
        <v>167</v>
      </c>
      <c r="F505" s="343"/>
      <c r="G505" s="344"/>
      <c r="H505" s="345"/>
      <c r="I505" s="345"/>
      <c r="J505" s="345"/>
      <c r="K505" s="345"/>
      <c r="L505" s="345"/>
      <c r="M505" s="346">
        <f>SUM(M506:M507)</f>
        <v>1</v>
      </c>
      <c r="N505" s="408"/>
      <c r="O505" s="409"/>
    </row>
    <row r="506" spans="1:15">
      <c r="A506" s="347"/>
      <c r="B506" s="347"/>
      <c r="C506" s="348"/>
      <c r="D506" s="421" t="s">
        <v>1782</v>
      </c>
      <c r="E506" s="422"/>
      <c r="F506" s="423">
        <v>1</v>
      </c>
      <c r="G506" s="352"/>
      <c r="H506" s="353"/>
      <c r="I506" s="353"/>
      <c r="J506" s="353"/>
      <c r="K506" s="353"/>
      <c r="L506" s="353"/>
      <c r="M506" s="353">
        <f>F506</f>
        <v>1</v>
      </c>
      <c r="N506" s="405"/>
      <c r="O506" s="352"/>
    </row>
    <row r="507" spans="1:15">
      <c r="A507" s="354"/>
      <c r="B507" s="354"/>
      <c r="C507" s="355"/>
      <c r="D507" s="356"/>
      <c r="E507" s="362"/>
      <c r="F507" s="358"/>
      <c r="G507" s="359"/>
      <c r="H507" s="360"/>
      <c r="I507" s="360"/>
      <c r="J507" s="360"/>
      <c r="K507" s="360"/>
      <c r="L507" s="360"/>
      <c r="M507" s="360"/>
      <c r="N507" s="406"/>
      <c r="O507" s="359"/>
    </row>
    <row r="508" spans="1:15" ht="126">
      <c r="A508" s="339" t="s">
        <v>1827</v>
      </c>
      <c r="B508" s="339" t="s">
        <v>160</v>
      </c>
      <c r="C508" s="340" t="s">
        <v>1128</v>
      </c>
      <c r="D508" s="446" t="s">
        <v>1129</v>
      </c>
      <c r="E508" s="342" t="s">
        <v>167</v>
      </c>
      <c r="F508" s="343"/>
      <c r="G508" s="344"/>
      <c r="H508" s="345"/>
      <c r="I508" s="345"/>
      <c r="J508" s="345"/>
      <c r="K508" s="345"/>
      <c r="L508" s="345"/>
      <c r="M508" s="346">
        <f>SUM(M509:M510)</f>
        <v>1</v>
      </c>
      <c r="N508" s="408"/>
      <c r="O508" s="409"/>
    </row>
    <row r="509" spans="1:15">
      <c r="A509" s="347"/>
      <c r="B509" s="347"/>
      <c r="C509" s="348"/>
      <c r="D509" s="421" t="s">
        <v>1782</v>
      </c>
      <c r="E509" s="422"/>
      <c r="F509" s="423">
        <v>1</v>
      </c>
      <c r="G509" s="352"/>
      <c r="H509" s="353"/>
      <c r="I509" s="353"/>
      <c r="J509" s="353"/>
      <c r="K509" s="353"/>
      <c r="L509" s="353"/>
      <c r="M509" s="353">
        <f>F509</f>
        <v>1</v>
      </c>
      <c r="N509" s="405"/>
      <c r="O509" s="352"/>
    </row>
    <row r="510" spans="1:15">
      <c r="A510" s="354"/>
      <c r="B510" s="354"/>
      <c r="C510" s="355"/>
      <c r="D510" s="356"/>
      <c r="E510" s="362"/>
      <c r="F510" s="358"/>
      <c r="G510" s="359"/>
      <c r="H510" s="360"/>
      <c r="I510" s="360"/>
      <c r="J510" s="360"/>
      <c r="K510" s="360"/>
      <c r="L510" s="360"/>
      <c r="M510" s="360"/>
      <c r="N510" s="406"/>
      <c r="O510" s="359"/>
    </row>
    <row r="511" spans="1:15" ht="141.75">
      <c r="A511" s="339" t="s">
        <v>1828</v>
      </c>
      <c r="B511" s="339" t="s">
        <v>160</v>
      </c>
      <c r="C511" s="340" t="s">
        <v>1131</v>
      </c>
      <c r="D511" s="341" t="s">
        <v>1132</v>
      </c>
      <c r="E511" s="342" t="s">
        <v>167</v>
      </c>
      <c r="F511" s="343"/>
      <c r="G511" s="344"/>
      <c r="H511" s="345"/>
      <c r="I511" s="345"/>
      <c r="J511" s="345"/>
      <c r="K511" s="345"/>
      <c r="L511" s="345"/>
      <c r="M511" s="346">
        <f>SUM(M512:M513)</f>
        <v>1</v>
      </c>
      <c r="N511" s="408"/>
      <c r="O511" s="409"/>
    </row>
    <row r="512" spans="1:15">
      <c r="A512" s="347"/>
      <c r="B512" s="347"/>
      <c r="C512" s="348"/>
      <c r="D512" s="421" t="s">
        <v>1782</v>
      </c>
      <c r="E512" s="422"/>
      <c r="F512" s="423">
        <v>1</v>
      </c>
      <c r="G512" s="352"/>
      <c r="H512" s="353"/>
      <c r="I512" s="353"/>
      <c r="J512" s="353"/>
      <c r="K512" s="353"/>
      <c r="L512" s="353"/>
      <c r="M512" s="353">
        <f>F512</f>
        <v>1</v>
      </c>
      <c r="N512" s="405"/>
      <c r="O512" s="352"/>
    </row>
    <row r="513" spans="1:15">
      <c r="A513" s="354"/>
      <c r="B513" s="354"/>
      <c r="C513" s="355"/>
      <c r="D513" s="356"/>
      <c r="E513" s="362"/>
      <c r="F513" s="358"/>
      <c r="G513" s="359"/>
      <c r="H513" s="360"/>
      <c r="I513" s="360"/>
      <c r="J513" s="360"/>
      <c r="K513" s="360"/>
      <c r="L513" s="360"/>
      <c r="M513" s="360"/>
      <c r="N513" s="406"/>
      <c r="O513" s="359"/>
    </row>
    <row r="514" spans="1:15" ht="141.75">
      <c r="A514" s="339" t="s">
        <v>1829</v>
      </c>
      <c r="B514" s="339" t="s">
        <v>160</v>
      </c>
      <c r="C514" s="340" t="s">
        <v>1134</v>
      </c>
      <c r="D514" s="446" t="s">
        <v>1135</v>
      </c>
      <c r="E514" s="342" t="s">
        <v>167</v>
      </c>
      <c r="F514" s="343"/>
      <c r="G514" s="344"/>
      <c r="H514" s="345"/>
      <c r="I514" s="345"/>
      <c r="J514" s="345"/>
      <c r="K514" s="345"/>
      <c r="L514" s="345"/>
      <c r="M514" s="346">
        <f>SUM(M515:M516)</f>
        <v>1</v>
      </c>
      <c r="N514" s="408"/>
      <c r="O514" s="409"/>
    </row>
    <row r="515" spans="1:15">
      <c r="A515" s="347"/>
      <c r="B515" s="347"/>
      <c r="C515" s="348"/>
      <c r="D515" s="421" t="s">
        <v>1782</v>
      </c>
      <c r="E515" s="422"/>
      <c r="F515" s="423">
        <v>1</v>
      </c>
      <c r="G515" s="352"/>
      <c r="H515" s="353"/>
      <c r="I515" s="353"/>
      <c r="J515" s="353"/>
      <c r="K515" s="353"/>
      <c r="L515" s="353"/>
      <c r="M515" s="353">
        <f>F515</f>
        <v>1</v>
      </c>
      <c r="N515" s="405"/>
      <c r="O515" s="352"/>
    </row>
    <row r="516" spans="1:15">
      <c r="A516" s="354"/>
      <c r="B516" s="354"/>
      <c r="C516" s="355"/>
      <c r="D516" s="356"/>
      <c r="E516" s="362"/>
      <c r="F516" s="358"/>
      <c r="G516" s="359"/>
      <c r="H516" s="360"/>
      <c r="I516" s="360"/>
      <c r="J516" s="360"/>
      <c r="K516" s="360"/>
      <c r="L516" s="360"/>
      <c r="M516" s="360"/>
      <c r="N516" s="406"/>
      <c r="O516" s="359"/>
    </row>
    <row r="517" spans="1:15" ht="141.75">
      <c r="A517" s="339" t="s">
        <v>1830</v>
      </c>
      <c r="B517" s="339" t="s">
        <v>160</v>
      </c>
      <c r="C517" s="340" t="s">
        <v>1137</v>
      </c>
      <c r="D517" s="474" t="s">
        <v>1138</v>
      </c>
      <c r="E517" s="342" t="s">
        <v>167</v>
      </c>
      <c r="F517" s="343"/>
      <c r="G517" s="344"/>
      <c r="H517" s="345"/>
      <c r="I517" s="345"/>
      <c r="J517" s="345"/>
      <c r="K517" s="345"/>
      <c r="L517" s="345"/>
      <c r="M517" s="346">
        <f>SUM(M518:M519)</f>
        <v>1</v>
      </c>
      <c r="N517" s="408"/>
      <c r="O517" s="409"/>
    </row>
    <row r="518" spans="1:15">
      <c r="A518" s="347"/>
      <c r="B518" s="347"/>
      <c r="C518" s="348"/>
      <c r="D518" s="421" t="s">
        <v>1782</v>
      </c>
      <c r="E518" s="422"/>
      <c r="F518" s="423">
        <v>1</v>
      </c>
      <c r="G518" s="352"/>
      <c r="H518" s="353"/>
      <c r="I518" s="353"/>
      <c r="J518" s="353"/>
      <c r="K518" s="353"/>
      <c r="L518" s="353"/>
      <c r="M518" s="353">
        <f>F518</f>
        <v>1</v>
      </c>
      <c r="N518" s="405"/>
      <c r="O518" s="352"/>
    </row>
    <row r="519" spans="1:15">
      <c r="A519" s="354"/>
      <c r="B519" s="354"/>
      <c r="C519" s="355"/>
      <c r="D519" s="356"/>
      <c r="E519" s="362"/>
      <c r="F519" s="358"/>
      <c r="G519" s="359"/>
      <c r="H519" s="360"/>
      <c r="I519" s="360"/>
      <c r="J519" s="360"/>
      <c r="K519" s="360"/>
      <c r="L519" s="360"/>
      <c r="M519" s="360"/>
      <c r="N519" s="406"/>
      <c r="O519" s="359"/>
    </row>
    <row r="520" spans="1:15" ht="141.75">
      <c r="A520" s="339" t="s">
        <v>1831</v>
      </c>
      <c r="B520" s="339" t="s">
        <v>160</v>
      </c>
      <c r="C520" s="340" t="s">
        <v>1140</v>
      </c>
      <c r="D520" s="341" t="s">
        <v>1141</v>
      </c>
      <c r="E520" s="342" t="s">
        <v>167</v>
      </c>
      <c r="F520" s="343"/>
      <c r="G520" s="344"/>
      <c r="H520" s="345"/>
      <c r="I520" s="345"/>
      <c r="J520" s="345"/>
      <c r="K520" s="345"/>
      <c r="L520" s="345"/>
      <c r="M520" s="346">
        <f>SUM(M521:M522)</f>
        <v>1</v>
      </c>
      <c r="N520" s="408"/>
      <c r="O520" s="409"/>
    </row>
    <row r="521" spans="1:15">
      <c r="A521" s="347"/>
      <c r="B521" s="347"/>
      <c r="C521" s="348"/>
      <c r="D521" s="421" t="s">
        <v>1782</v>
      </c>
      <c r="E521" s="422"/>
      <c r="F521" s="423">
        <v>1</v>
      </c>
      <c r="G521" s="352"/>
      <c r="H521" s="353"/>
      <c r="I521" s="353"/>
      <c r="J521" s="353"/>
      <c r="K521" s="353"/>
      <c r="L521" s="353"/>
      <c r="M521" s="353">
        <f>F521</f>
        <v>1</v>
      </c>
      <c r="N521" s="405"/>
      <c r="O521" s="352"/>
    </row>
    <row r="522" spans="1:15">
      <c r="A522" s="354"/>
      <c r="B522" s="354"/>
      <c r="C522" s="355"/>
      <c r="D522" s="356"/>
      <c r="E522" s="362"/>
      <c r="F522" s="358"/>
      <c r="G522" s="359"/>
      <c r="H522" s="360"/>
      <c r="I522" s="360"/>
      <c r="J522" s="360"/>
      <c r="K522" s="360"/>
      <c r="L522" s="360"/>
      <c r="M522" s="360"/>
      <c r="N522" s="406"/>
      <c r="O522" s="359"/>
    </row>
    <row r="523" spans="1:15" ht="141.75">
      <c r="A523" s="339" t="s">
        <v>1832</v>
      </c>
      <c r="B523" s="339" t="s">
        <v>160</v>
      </c>
      <c r="C523" s="340" t="s">
        <v>1143</v>
      </c>
      <c r="D523" s="341" t="s">
        <v>1144</v>
      </c>
      <c r="E523" s="342" t="s">
        <v>167</v>
      </c>
      <c r="F523" s="343"/>
      <c r="G523" s="344"/>
      <c r="H523" s="345"/>
      <c r="I523" s="345"/>
      <c r="J523" s="345"/>
      <c r="K523" s="345"/>
      <c r="L523" s="345"/>
      <c r="M523" s="346">
        <f>SUM(M524:M525)</f>
        <v>1</v>
      </c>
      <c r="N523" s="408"/>
      <c r="O523" s="409"/>
    </row>
    <row r="524" spans="1:15">
      <c r="A524" s="347"/>
      <c r="B524" s="347"/>
      <c r="C524" s="348"/>
      <c r="D524" s="421" t="s">
        <v>1782</v>
      </c>
      <c r="E524" s="422"/>
      <c r="F524" s="423">
        <v>1</v>
      </c>
      <c r="G524" s="352"/>
      <c r="H524" s="353"/>
      <c r="I524" s="353"/>
      <c r="J524" s="353"/>
      <c r="K524" s="353"/>
      <c r="L524" s="353"/>
      <c r="M524" s="353">
        <f>F524</f>
        <v>1</v>
      </c>
      <c r="N524" s="405"/>
      <c r="O524" s="352"/>
    </row>
    <row r="525" spans="1:15">
      <c r="A525" s="354"/>
      <c r="B525" s="354"/>
      <c r="C525" s="355"/>
      <c r="D525" s="356"/>
      <c r="E525" s="362"/>
      <c r="F525" s="358"/>
      <c r="G525" s="359"/>
      <c r="H525" s="360"/>
      <c r="I525" s="360"/>
      <c r="J525" s="360"/>
      <c r="K525" s="360"/>
      <c r="L525" s="360"/>
      <c r="M525" s="360"/>
      <c r="N525" s="406"/>
      <c r="O525" s="359"/>
    </row>
    <row r="526" spans="1:15" ht="141.75">
      <c r="A526" s="339" t="s">
        <v>1833</v>
      </c>
      <c r="B526" s="339" t="s">
        <v>160</v>
      </c>
      <c r="C526" s="340" t="s">
        <v>1146</v>
      </c>
      <c r="D526" s="446" t="s">
        <v>1147</v>
      </c>
      <c r="E526" s="342" t="s">
        <v>167</v>
      </c>
      <c r="F526" s="343"/>
      <c r="G526" s="344"/>
      <c r="H526" s="345"/>
      <c r="I526" s="345"/>
      <c r="J526" s="345"/>
      <c r="K526" s="345"/>
      <c r="L526" s="345"/>
      <c r="M526" s="346">
        <f>SUM(M527:M528)</f>
        <v>1</v>
      </c>
      <c r="N526" s="408"/>
      <c r="O526" s="409"/>
    </row>
    <row r="527" spans="1:15">
      <c r="A527" s="347"/>
      <c r="B527" s="347"/>
      <c r="C527" s="348"/>
      <c r="D527" s="421" t="s">
        <v>1782</v>
      </c>
      <c r="E527" s="422"/>
      <c r="F527" s="423">
        <v>1</v>
      </c>
      <c r="G527" s="352"/>
      <c r="H527" s="353"/>
      <c r="I527" s="353"/>
      <c r="J527" s="353"/>
      <c r="K527" s="353"/>
      <c r="L527" s="353"/>
      <c r="M527" s="353">
        <f>F527</f>
        <v>1</v>
      </c>
      <c r="N527" s="405"/>
      <c r="O527" s="352"/>
    </row>
    <row r="528" spans="1:15">
      <c r="A528" s="354"/>
      <c r="B528" s="354"/>
      <c r="C528" s="355"/>
      <c r="D528" s="356"/>
      <c r="E528" s="362"/>
      <c r="F528" s="358"/>
      <c r="G528" s="359"/>
      <c r="H528" s="360"/>
      <c r="I528" s="360"/>
      <c r="J528" s="360"/>
      <c r="K528" s="360"/>
      <c r="L528" s="360"/>
      <c r="M528" s="360"/>
      <c r="N528" s="406"/>
      <c r="O528" s="359"/>
    </row>
    <row r="529" spans="1:15" ht="141.75">
      <c r="A529" s="339" t="s">
        <v>1834</v>
      </c>
      <c r="B529" s="339" t="s">
        <v>160</v>
      </c>
      <c r="C529" s="340" t="s">
        <v>1149</v>
      </c>
      <c r="D529" s="341" t="s">
        <v>1150</v>
      </c>
      <c r="E529" s="342" t="s">
        <v>167</v>
      </c>
      <c r="F529" s="343"/>
      <c r="G529" s="344"/>
      <c r="H529" s="345"/>
      <c r="I529" s="345"/>
      <c r="J529" s="345"/>
      <c r="K529" s="345"/>
      <c r="L529" s="345"/>
      <c r="M529" s="346">
        <f>SUM(M530:M531)</f>
        <v>1</v>
      </c>
      <c r="N529" s="408"/>
      <c r="O529" s="409"/>
    </row>
    <row r="530" spans="1:15">
      <c r="A530" s="347"/>
      <c r="B530" s="347"/>
      <c r="C530" s="348"/>
      <c r="D530" s="421" t="s">
        <v>1782</v>
      </c>
      <c r="E530" s="422"/>
      <c r="F530" s="423">
        <v>1</v>
      </c>
      <c r="G530" s="352"/>
      <c r="H530" s="353"/>
      <c r="I530" s="353"/>
      <c r="J530" s="353"/>
      <c r="K530" s="353"/>
      <c r="L530" s="353"/>
      <c r="M530" s="353">
        <f>F530</f>
        <v>1</v>
      </c>
      <c r="N530" s="405"/>
      <c r="O530" s="352"/>
    </row>
    <row r="531" spans="1:15">
      <c r="A531" s="354"/>
      <c r="B531" s="354"/>
      <c r="C531" s="355"/>
      <c r="D531" s="356"/>
      <c r="E531" s="362"/>
      <c r="F531" s="358"/>
      <c r="G531" s="359"/>
      <c r="H531" s="360"/>
      <c r="I531" s="360"/>
      <c r="J531" s="360"/>
      <c r="K531" s="360"/>
      <c r="L531" s="360"/>
      <c r="M531" s="360"/>
      <c r="N531" s="406"/>
      <c r="O531" s="359"/>
    </row>
    <row r="532" spans="1:15" ht="141.75">
      <c r="A532" s="339" t="s">
        <v>1835</v>
      </c>
      <c r="B532" s="339" t="s">
        <v>160</v>
      </c>
      <c r="C532" s="340" t="s">
        <v>1152</v>
      </c>
      <c r="D532" s="446" t="s">
        <v>1153</v>
      </c>
      <c r="E532" s="342" t="s">
        <v>167</v>
      </c>
      <c r="F532" s="343"/>
      <c r="G532" s="344"/>
      <c r="H532" s="345"/>
      <c r="I532" s="345"/>
      <c r="J532" s="345"/>
      <c r="K532" s="345"/>
      <c r="L532" s="345"/>
      <c r="M532" s="346">
        <f>SUM(M533:M534)</f>
        <v>1</v>
      </c>
      <c r="N532" s="408"/>
      <c r="O532" s="409"/>
    </row>
    <row r="533" spans="1:15">
      <c r="A533" s="347"/>
      <c r="B533" s="347"/>
      <c r="C533" s="348"/>
      <c r="D533" s="421" t="s">
        <v>1782</v>
      </c>
      <c r="E533" s="422"/>
      <c r="F533" s="423">
        <v>1</v>
      </c>
      <c r="G533" s="352"/>
      <c r="H533" s="353"/>
      <c r="I533" s="353"/>
      <c r="J533" s="353"/>
      <c r="K533" s="353"/>
      <c r="L533" s="353"/>
      <c r="M533" s="353">
        <f>F533</f>
        <v>1</v>
      </c>
      <c r="N533" s="405"/>
      <c r="O533" s="352"/>
    </row>
    <row r="534" spans="1:15">
      <c r="A534" s="354"/>
      <c r="B534" s="354"/>
      <c r="C534" s="355"/>
      <c r="D534" s="356"/>
      <c r="E534" s="362"/>
      <c r="F534" s="358"/>
      <c r="G534" s="359"/>
      <c r="H534" s="360"/>
      <c r="I534" s="360"/>
      <c r="J534" s="360"/>
      <c r="K534" s="360"/>
      <c r="L534" s="360"/>
      <c r="M534" s="360"/>
      <c r="N534" s="406"/>
      <c r="O534" s="359"/>
    </row>
    <row r="535" spans="1:15" ht="126">
      <c r="A535" s="339" t="s">
        <v>1836</v>
      </c>
      <c r="B535" s="339" t="s">
        <v>160</v>
      </c>
      <c r="C535" s="340" t="s">
        <v>1155</v>
      </c>
      <c r="D535" s="446" t="s">
        <v>1156</v>
      </c>
      <c r="E535" s="342" t="s">
        <v>167</v>
      </c>
      <c r="F535" s="343"/>
      <c r="G535" s="344"/>
      <c r="H535" s="345"/>
      <c r="I535" s="345"/>
      <c r="J535" s="345"/>
      <c r="K535" s="345"/>
      <c r="L535" s="345"/>
      <c r="M535" s="346">
        <f>SUM(M536:M537)</f>
        <v>1</v>
      </c>
      <c r="N535" s="408"/>
      <c r="O535" s="409"/>
    </row>
    <row r="536" spans="1:15">
      <c r="A536" s="347"/>
      <c r="B536" s="347"/>
      <c r="C536" s="348"/>
      <c r="D536" s="421" t="s">
        <v>1782</v>
      </c>
      <c r="E536" s="422"/>
      <c r="F536" s="423">
        <v>1</v>
      </c>
      <c r="G536" s="352"/>
      <c r="H536" s="353"/>
      <c r="I536" s="353"/>
      <c r="J536" s="353"/>
      <c r="K536" s="353"/>
      <c r="L536" s="353"/>
      <c r="M536" s="353">
        <f>F536</f>
        <v>1</v>
      </c>
      <c r="N536" s="405"/>
      <c r="O536" s="352"/>
    </row>
    <row r="537" spans="1:15">
      <c r="A537" s="354"/>
      <c r="B537" s="354"/>
      <c r="C537" s="355"/>
      <c r="D537" s="356"/>
      <c r="E537" s="362"/>
      <c r="F537" s="358"/>
      <c r="G537" s="359"/>
      <c r="H537" s="360"/>
      <c r="I537" s="360"/>
      <c r="J537" s="360"/>
      <c r="K537" s="360"/>
      <c r="L537" s="360"/>
      <c r="M537" s="360"/>
      <c r="N537" s="406"/>
      <c r="O537" s="359"/>
    </row>
    <row r="538" spans="1:15" ht="141.75">
      <c r="A538" s="339" t="s">
        <v>1837</v>
      </c>
      <c r="B538" s="339" t="s">
        <v>160</v>
      </c>
      <c r="C538" s="340" t="s">
        <v>1158</v>
      </c>
      <c r="D538" s="341" t="s">
        <v>1159</v>
      </c>
      <c r="E538" s="342" t="s">
        <v>167</v>
      </c>
      <c r="F538" s="343"/>
      <c r="G538" s="344"/>
      <c r="H538" s="345"/>
      <c r="I538" s="345"/>
      <c r="J538" s="345"/>
      <c r="K538" s="345"/>
      <c r="L538" s="345"/>
      <c r="M538" s="346">
        <f>SUM(M539:M540)</f>
        <v>1</v>
      </c>
      <c r="N538" s="408"/>
      <c r="O538" s="409"/>
    </row>
    <row r="539" spans="1:15">
      <c r="A539" s="347"/>
      <c r="B539" s="347"/>
      <c r="C539" s="348"/>
      <c r="D539" s="421" t="s">
        <v>1782</v>
      </c>
      <c r="E539" s="422"/>
      <c r="F539" s="423">
        <v>1</v>
      </c>
      <c r="G539" s="352"/>
      <c r="H539" s="353"/>
      <c r="I539" s="353"/>
      <c r="J539" s="353"/>
      <c r="K539" s="353"/>
      <c r="L539" s="353"/>
      <c r="M539" s="353">
        <f>F539</f>
        <v>1</v>
      </c>
      <c r="N539" s="405"/>
      <c r="O539" s="352"/>
    </row>
    <row r="540" spans="1:15">
      <c r="A540" s="354"/>
      <c r="B540" s="354"/>
      <c r="C540" s="355"/>
      <c r="D540" s="356"/>
      <c r="E540" s="362"/>
      <c r="F540" s="358"/>
      <c r="G540" s="359"/>
      <c r="H540" s="360"/>
      <c r="I540" s="360"/>
      <c r="J540" s="360"/>
      <c r="K540" s="360"/>
      <c r="L540" s="360"/>
      <c r="M540" s="360"/>
      <c r="N540" s="406"/>
      <c r="O540" s="359"/>
    </row>
    <row r="541" spans="1:15">
      <c r="A541" s="311" t="s">
        <v>1690</v>
      </c>
      <c r="B541" s="312"/>
      <c r="C541" s="313"/>
      <c r="D541" s="314" t="s">
        <v>108</v>
      </c>
      <c r="E541" s="327"/>
      <c r="F541" s="328"/>
      <c r="G541" s="329"/>
      <c r="H541" s="329"/>
      <c r="I541" s="329"/>
      <c r="J541" s="329"/>
      <c r="K541" s="329"/>
      <c r="L541" s="329"/>
      <c r="M541" s="330"/>
      <c r="N541" s="407"/>
      <c r="O541" s="330"/>
    </row>
    <row r="542" spans="1:15" ht="47.25">
      <c r="A542" s="339" t="s">
        <v>1691</v>
      </c>
      <c r="B542" s="339" t="s">
        <v>160</v>
      </c>
      <c r="C542" s="340" t="s">
        <v>1161</v>
      </c>
      <c r="D542" s="446" t="s">
        <v>1162</v>
      </c>
      <c r="E542" s="342" t="s">
        <v>167</v>
      </c>
      <c r="F542" s="343"/>
      <c r="G542" s="344"/>
      <c r="H542" s="345"/>
      <c r="I542" s="345"/>
      <c r="J542" s="345"/>
      <c r="K542" s="345"/>
      <c r="L542" s="345"/>
      <c r="M542" s="346">
        <f>SUM(M543:M544)</f>
        <v>8</v>
      </c>
      <c r="N542" s="408"/>
      <c r="O542" s="409"/>
    </row>
    <row r="543" spans="1:15">
      <c r="A543" s="347"/>
      <c r="B543" s="347"/>
      <c r="C543" s="348"/>
      <c r="D543" s="421" t="s">
        <v>1782</v>
      </c>
      <c r="E543" s="422"/>
      <c r="F543" s="423">
        <v>8</v>
      </c>
      <c r="G543" s="352"/>
      <c r="H543" s="353"/>
      <c r="I543" s="353"/>
      <c r="J543" s="353"/>
      <c r="K543" s="353"/>
      <c r="L543" s="353"/>
      <c r="M543" s="353">
        <f>F543</f>
        <v>8</v>
      </c>
      <c r="N543" s="405"/>
      <c r="O543" s="352"/>
    </row>
    <row r="544" spans="1:15">
      <c r="A544" s="354"/>
      <c r="B544" s="354"/>
      <c r="C544" s="355"/>
      <c r="D544" s="356"/>
      <c r="E544" s="362"/>
      <c r="F544" s="358"/>
      <c r="G544" s="359"/>
      <c r="H544" s="360"/>
      <c r="I544" s="360"/>
      <c r="J544" s="360"/>
      <c r="K544" s="360"/>
      <c r="L544" s="360"/>
      <c r="M544" s="360"/>
      <c r="N544" s="406"/>
      <c r="O544" s="359"/>
    </row>
    <row r="545" spans="1:15" ht="47.25">
      <c r="A545" s="339" t="s">
        <v>1838</v>
      </c>
      <c r="B545" s="339" t="s">
        <v>160</v>
      </c>
      <c r="C545" s="340" t="s">
        <v>1164</v>
      </c>
      <c r="D545" s="446" t="s">
        <v>1165</v>
      </c>
      <c r="E545" s="342" t="s">
        <v>167</v>
      </c>
      <c r="F545" s="343"/>
      <c r="G545" s="344"/>
      <c r="H545" s="345"/>
      <c r="I545" s="345"/>
      <c r="J545" s="345"/>
      <c r="K545" s="345"/>
      <c r="L545" s="345"/>
      <c r="M545" s="346">
        <f>SUM(M546:M547)</f>
        <v>8</v>
      </c>
      <c r="N545" s="408"/>
      <c r="O545" s="409"/>
    </row>
    <row r="546" spans="1:15">
      <c r="A546" s="347"/>
      <c r="B546" s="347"/>
      <c r="C546" s="348"/>
      <c r="D546" s="421" t="s">
        <v>1782</v>
      </c>
      <c r="E546" s="422"/>
      <c r="F546" s="423">
        <v>8</v>
      </c>
      <c r="G546" s="352"/>
      <c r="H546" s="353"/>
      <c r="I546" s="353"/>
      <c r="J546" s="353"/>
      <c r="K546" s="353"/>
      <c r="L546" s="353"/>
      <c r="M546" s="353">
        <f>F546</f>
        <v>8</v>
      </c>
      <c r="N546" s="405"/>
      <c r="O546" s="352"/>
    </row>
    <row r="547" spans="1:15">
      <c r="A547" s="354"/>
      <c r="B547" s="354"/>
      <c r="C547" s="355"/>
      <c r="D547" s="356"/>
      <c r="E547" s="362"/>
      <c r="F547" s="358"/>
      <c r="G547" s="359"/>
      <c r="H547" s="360"/>
      <c r="I547" s="360"/>
      <c r="J547" s="360"/>
      <c r="K547" s="360"/>
      <c r="L547" s="360"/>
      <c r="M547" s="360"/>
      <c r="N547" s="406"/>
      <c r="O547" s="359"/>
    </row>
    <row r="548" spans="1:15">
      <c r="A548" s="311" t="s">
        <v>1839</v>
      </c>
      <c r="B548" s="312"/>
      <c r="C548" s="313"/>
      <c r="D548" s="314" t="s">
        <v>110</v>
      </c>
      <c r="E548" s="327"/>
      <c r="F548" s="328"/>
      <c r="G548" s="329"/>
      <c r="H548" s="329"/>
      <c r="I548" s="329"/>
      <c r="J548" s="329"/>
      <c r="K548" s="329"/>
      <c r="L548" s="329"/>
      <c r="M548" s="330"/>
      <c r="N548" s="407"/>
      <c r="O548" s="330"/>
    </row>
    <row r="549" spans="1:15">
      <c r="A549" s="447" t="s">
        <v>1840</v>
      </c>
      <c r="B549" s="448"/>
      <c r="C549" s="449"/>
      <c r="D549" s="450" t="s">
        <v>1167</v>
      </c>
      <c r="E549" s="451"/>
      <c r="F549" s="452"/>
      <c r="G549" s="453"/>
      <c r="H549" s="453"/>
      <c r="I549" s="453"/>
      <c r="J549" s="453"/>
      <c r="K549" s="453"/>
      <c r="L549" s="453"/>
      <c r="M549" s="454"/>
      <c r="N549" s="463"/>
      <c r="O549" s="454"/>
    </row>
    <row r="550" spans="1:15">
      <c r="A550" s="339" t="s">
        <v>1841</v>
      </c>
      <c r="B550" s="339" t="s">
        <v>160</v>
      </c>
      <c r="C550" s="340" t="s">
        <v>1169</v>
      </c>
      <c r="D550" s="446" t="s">
        <v>1842</v>
      </c>
      <c r="E550" s="342" t="s">
        <v>1171</v>
      </c>
      <c r="F550" s="343"/>
      <c r="G550" s="344"/>
      <c r="H550" s="345"/>
      <c r="I550" s="345"/>
      <c r="J550" s="345"/>
      <c r="K550" s="345"/>
      <c r="L550" s="345"/>
      <c r="M550" s="346">
        <f>SUM(M551:M552)</f>
        <v>318</v>
      </c>
      <c r="N550" s="408"/>
      <c r="O550" s="409"/>
    </row>
    <row r="551" spans="1:15">
      <c r="A551" s="347"/>
      <c r="B551" s="347"/>
      <c r="C551" s="348"/>
      <c r="D551" s="421" t="s">
        <v>1782</v>
      </c>
      <c r="E551" s="422"/>
      <c r="F551" s="423">
        <v>318</v>
      </c>
      <c r="G551" s="352"/>
      <c r="H551" s="353"/>
      <c r="I551" s="353"/>
      <c r="J551" s="353"/>
      <c r="K551" s="353"/>
      <c r="L551" s="353"/>
      <c r="M551" s="353">
        <f>F551</f>
        <v>318</v>
      </c>
      <c r="N551" s="405"/>
      <c r="O551" s="352"/>
    </row>
    <row r="552" spans="1:15">
      <c r="A552" s="354"/>
      <c r="B552" s="354"/>
      <c r="C552" s="355"/>
      <c r="D552" s="356"/>
      <c r="E552" s="362"/>
      <c r="F552" s="358"/>
      <c r="G552" s="359"/>
      <c r="H552" s="360"/>
      <c r="I552" s="360"/>
      <c r="J552" s="360"/>
      <c r="K552" s="360"/>
      <c r="L552" s="360"/>
      <c r="M552" s="360"/>
      <c r="N552" s="406"/>
      <c r="O552" s="359"/>
    </row>
    <row r="553" spans="1:15">
      <c r="A553" s="339" t="s">
        <v>1843</v>
      </c>
      <c r="B553" s="339" t="s">
        <v>160</v>
      </c>
      <c r="C553" s="340" t="s">
        <v>1173</v>
      </c>
      <c r="D553" s="341" t="s">
        <v>1844</v>
      </c>
      <c r="E553" s="342" t="s">
        <v>1171</v>
      </c>
      <c r="F553" s="343"/>
      <c r="G553" s="344"/>
      <c r="H553" s="345"/>
      <c r="I553" s="345"/>
      <c r="J553" s="345"/>
      <c r="K553" s="345"/>
      <c r="L553" s="345"/>
      <c r="M553" s="346">
        <f>SUM(M554:M555)</f>
        <v>3295</v>
      </c>
      <c r="N553" s="408"/>
      <c r="O553" s="409"/>
    </row>
    <row r="554" spans="1:15">
      <c r="A554" s="347"/>
      <c r="B554" s="347"/>
      <c r="C554" s="348"/>
      <c r="D554" s="421" t="s">
        <v>1782</v>
      </c>
      <c r="E554" s="422"/>
      <c r="F554" s="423">
        <v>3295</v>
      </c>
      <c r="G554" s="352"/>
      <c r="H554" s="353"/>
      <c r="I554" s="353"/>
      <c r="J554" s="353"/>
      <c r="K554" s="353"/>
      <c r="L554" s="353"/>
      <c r="M554" s="353">
        <f>F554</f>
        <v>3295</v>
      </c>
      <c r="N554" s="405"/>
      <c r="O554" s="352"/>
    </row>
    <row r="555" spans="1:15">
      <c r="A555" s="354"/>
      <c r="B555" s="354"/>
      <c r="C555" s="355"/>
      <c r="D555" s="356"/>
      <c r="E555" s="362"/>
      <c r="F555" s="358"/>
      <c r="G555" s="359"/>
      <c r="H555" s="360"/>
      <c r="I555" s="360"/>
      <c r="J555" s="360"/>
      <c r="K555" s="360"/>
      <c r="L555" s="360"/>
      <c r="M555" s="360"/>
      <c r="N555" s="406"/>
      <c r="O555" s="359"/>
    </row>
    <row r="556" spans="1:15">
      <c r="A556" s="339" t="s">
        <v>1845</v>
      </c>
      <c r="B556" s="339" t="s">
        <v>160</v>
      </c>
      <c r="C556" s="340" t="s">
        <v>1176</v>
      </c>
      <c r="D556" s="341" t="s">
        <v>1846</v>
      </c>
      <c r="E556" s="342" t="s">
        <v>1171</v>
      </c>
      <c r="F556" s="343"/>
      <c r="G556" s="344"/>
      <c r="H556" s="345"/>
      <c r="I556" s="345"/>
      <c r="J556" s="345"/>
      <c r="K556" s="345"/>
      <c r="L556" s="345"/>
      <c r="M556" s="346">
        <f>SUM(M557:M558)</f>
        <v>5040</v>
      </c>
      <c r="N556" s="408"/>
      <c r="O556" s="409"/>
    </row>
    <row r="557" spans="1:15">
      <c r="A557" s="347"/>
      <c r="B557" s="347"/>
      <c r="C557" s="348"/>
      <c r="D557" s="421" t="s">
        <v>1782</v>
      </c>
      <c r="E557" s="422"/>
      <c r="F557" s="423">
        <v>5040</v>
      </c>
      <c r="G557" s="352"/>
      <c r="H557" s="353"/>
      <c r="I557" s="353"/>
      <c r="J557" s="353"/>
      <c r="K557" s="353"/>
      <c r="L557" s="353"/>
      <c r="M557" s="353">
        <f>F557</f>
        <v>5040</v>
      </c>
      <c r="N557" s="405"/>
      <c r="O557" s="352"/>
    </row>
    <row r="558" spans="1:15">
      <c r="A558" s="354"/>
      <c r="B558" s="354"/>
      <c r="C558" s="355"/>
      <c r="D558" s="356"/>
      <c r="E558" s="362"/>
      <c r="F558" s="358"/>
      <c r="G558" s="359"/>
      <c r="H558" s="360"/>
      <c r="I558" s="360"/>
      <c r="J558" s="360"/>
      <c r="K558" s="360"/>
      <c r="L558" s="360"/>
      <c r="M558" s="360"/>
      <c r="N558" s="406"/>
      <c r="O558" s="359"/>
    </row>
    <row r="559" spans="1:15">
      <c r="A559" s="339" t="s">
        <v>1847</v>
      </c>
      <c r="B559" s="339" t="s">
        <v>160</v>
      </c>
      <c r="C559" s="340" t="s">
        <v>1179</v>
      </c>
      <c r="D559" s="341" t="s">
        <v>1848</v>
      </c>
      <c r="E559" s="342" t="s">
        <v>1171</v>
      </c>
      <c r="F559" s="343"/>
      <c r="G559" s="344"/>
      <c r="H559" s="345"/>
      <c r="I559" s="345"/>
      <c r="J559" s="345"/>
      <c r="K559" s="345"/>
      <c r="L559" s="345"/>
      <c r="M559" s="346">
        <f>SUM(M560:M561)</f>
        <v>4465</v>
      </c>
      <c r="N559" s="408"/>
      <c r="O559" s="409"/>
    </row>
    <row r="560" spans="1:15">
      <c r="A560" s="347"/>
      <c r="B560" s="347"/>
      <c r="C560" s="348"/>
      <c r="D560" s="421" t="s">
        <v>1782</v>
      </c>
      <c r="E560" s="422"/>
      <c r="F560" s="423">
        <v>4465</v>
      </c>
      <c r="G560" s="352"/>
      <c r="H560" s="353"/>
      <c r="I560" s="353"/>
      <c r="J560" s="353"/>
      <c r="K560" s="353"/>
      <c r="L560" s="353"/>
      <c r="M560" s="353">
        <f>F560</f>
        <v>4465</v>
      </c>
      <c r="N560" s="405"/>
      <c r="O560" s="352"/>
    </row>
    <row r="561" spans="1:15">
      <c r="A561" s="354"/>
      <c r="B561" s="354"/>
      <c r="C561" s="355"/>
      <c r="D561" s="356"/>
      <c r="E561" s="362"/>
      <c r="F561" s="358"/>
      <c r="G561" s="359"/>
      <c r="H561" s="360"/>
      <c r="I561" s="360"/>
      <c r="J561" s="360"/>
      <c r="K561" s="360"/>
      <c r="L561" s="360"/>
      <c r="M561" s="360"/>
      <c r="N561" s="406"/>
      <c r="O561" s="359"/>
    </row>
    <row r="562" spans="1:15" ht="31.5">
      <c r="A562" s="339" t="s">
        <v>1849</v>
      </c>
      <c r="B562" s="339" t="s">
        <v>160</v>
      </c>
      <c r="C562" s="340" t="s">
        <v>1182</v>
      </c>
      <c r="D562" s="341" t="s">
        <v>1183</v>
      </c>
      <c r="E562" s="342" t="s">
        <v>150</v>
      </c>
      <c r="F562" s="343"/>
      <c r="G562" s="344"/>
      <c r="H562" s="345"/>
      <c r="I562" s="345"/>
      <c r="J562" s="345"/>
      <c r="K562" s="345"/>
      <c r="L562" s="345"/>
      <c r="M562" s="346">
        <f>SUM(M563:M564)</f>
        <v>2080</v>
      </c>
      <c r="N562" s="408"/>
      <c r="O562" s="409"/>
    </row>
    <row r="563" spans="1:15">
      <c r="A563" s="347"/>
      <c r="B563" s="347"/>
      <c r="C563" s="348"/>
      <c r="D563" s="421" t="s">
        <v>1782</v>
      </c>
      <c r="E563" s="422"/>
      <c r="F563" s="423">
        <v>2080</v>
      </c>
      <c r="G563" s="352"/>
      <c r="H563" s="353"/>
      <c r="I563" s="353"/>
      <c r="J563" s="353"/>
      <c r="K563" s="353"/>
      <c r="L563" s="353"/>
      <c r="M563" s="353">
        <f>F563</f>
        <v>2080</v>
      </c>
      <c r="N563" s="405"/>
      <c r="O563" s="352"/>
    </row>
    <row r="564" spans="1:15">
      <c r="A564" s="354"/>
      <c r="B564" s="354"/>
      <c r="C564" s="355"/>
      <c r="D564" s="356"/>
      <c r="E564" s="362"/>
      <c r="F564" s="358"/>
      <c r="G564" s="359"/>
      <c r="H564" s="360"/>
      <c r="I564" s="360"/>
      <c r="J564" s="360"/>
      <c r="K564" s="360"/>
      <c r="L564" s="360"/>
      <c r="M564" s="360"/>
      <c r="N564" s="406"/>
      <c r="O564" s="359"/>
    </row>
    <row r="565" spans="1:15">
      <c r="A565" s="339" t="s">
        <v>1850</v>
      </c>
      <c r="B565" s="339" t="s">
        <v>160</v>
      </c>
      <c r="C565" s="340" t="s">
        <v>1851</v>
      </c>
      <c r="D565" s="341" t="s">
        <v>1852</v>
      </c>
      <c r="E565" s="342" t="s">
        <v>163</v>
      </c>
      <c r="F565" s="343"/>
      <c r="G565" s="344"/>
      <c r="H565" s="345"/>
      <c r="I565" s="345"/>
      <c r="J565" s="345"/>
      <c r="K565" s="345"/>
      <c r="L565" s="345"/>
      <c r="M565" s="346">
        <f>SUM(M566:M567)</f>
        <v>1</v>
      </c>
      <c r="N565" s="408"/>
      <c r="O565" s="409"/>
    </row>
    <row r="566" spans="1:15">
      <c r="A566" s="347"/>
      <c r="B566" s="347"/>
      <c r="C566" s="348"/>
      <c r="D566" s="421" t="s">
        <v>1782</v>
      </c>
      <c r="E566" s="422"/>
      <c r="F566" s="423">
        <v>1</v>
      </c>
      <c r="G566" s="352"/>
      <c r="H566" s="353"/>
      <c r="I566" s="353"/>
      <c r="J566" s="353"/>
      <c r="K566" s="353"/>
      <c r="L566" s="353"/>
      <c r="M566" s="353">
        <f>F566</f>
        <v>1</v>
      </c>
      <c r="N566" s="405"/>
      <c r="O566" s="352"/>
    </row>
    <row r="567" spans="1:15">
      <c r="A567" s="354"/>
      <c r="B567" s="354"/>
      <c r="C567" s="355"/>
      <c r="D567" s="356"/>
      <c r="E567" s="362"/>
      <c r="F567" s="358"/>
      <c r="G567" s="359"/>
      <c r="H567" s="360"/>
      <c r="I567" s="360"/>
      <c r="J567" s="360"/>
      <c r="K567" s="360"/>
      <c r="L567" s="360"/>
      <c r="M567" s="360"/>
      <c r="N567" s="406"/>
      <c r="O567" s="359"/>
    </row>
    <row r="568" spans="1:15">
      <c r="A568" s="447" t="s">
        <v>1853</v>
      </c>
      <c r="B568" s="448"/>
      <c r="C568" s="449"/>
      <c r="D568" s="450" t="s">
        <v>1185</v>
      </c>
      <c r="E568" s="451"/>
      <c r="F568" s="452"/>
      <c r="G568" s="453"/>
      <c r="H568" s="453"/>
      <c r="I568" s="453"/>
      <c r="J568" s="453"/>
      <c r="K568" s="453"/>
      <c r="L568" s="453"/>
      <c r="M568" s="454"/>
      <c r="N568" s="463"/>
      <c r="O568" s="454"/>
    </row>
    <row r="569" spans="1:15" ht="63">
      <c r="A569" s="339" t="s">
        <v>1854</v>
      </c>
      <c r="B569" s="339" t="s">
        <v>160</v>
      </c>
      <c r="C569" s="340" t="s">
        <v>1187</v>
      </c>
      <c r="D569" s="446" t="s">
        <v>1855</v>
      </c>
      <c r="E569" s="342" t="s">
        <v>180</v>
      </c>
      <c r="F569" s="343"/>
      <c r="G569" s="344"/>
      <c r="H569" s="345"/>
      <c r="I569" s="345"/>
      <c r="J569" s="345"/>
      <c r="K569" s="345"/>
      <c r="L569" s="345"/>
      <c r="M569" s="346">
        <f>SUM(M570:M571)</f>
        <v>15.6</v>
      </c>
      <c r="N569" s="408"/>
      <c r="O569" s="409"/>
    </row>
    <row r="570" spans="1:15">
      <c r="A570" s="347"/>
      <c r="B570" s="347"/>
      <c r="C570" s="348"/>
      <c r="D570" s="421" t="s">
        <v>1782</v>
      </c>
      <c r="E570" s="422"/>
      <c r="F570" s="423">
        <v>15.6</v>
      </c>
      <c r="G570" s="352"/>
      <c r="H570" s="353"/>
      <c r="I570" s="353"/>
      <c r="J570" s="353"/>
      <c r="K570" s="353"/>
      <c r="L570" s="353"/>
      <c r="M570" s="353">
        <f>F570</f>
        <v>15.6</v>
      </c>
      <c r="N570" s="405"/>
      <c r="O570" s="352"/>
    </row>
    <row r="571" spans="1:15">
      <c r="A571" s="354"/>
      <c r="B571" s="354"/>
      <c r="C571" s="355"/>
      <c r="D571" s="356"/>
      <c r="E571" s="362"/>
      <c r="F571" s="358"/>
      <c r="G571" s="359"/>
      <c r="H571" s="360"/>
      <c r="I571" s="360"/>
      <c r="J571" s="360"/>
      <c r="K571" s="360"/>
      <c r="L571" s="360"/>
      <c r="M571" s="360"/>
      <c r="N571" s="406"/>
      <c r="O571" s="359"/>
    </row>
    <row r="572" spans="1:15" ht="63">
      <c r="A572" s="339" t="s">
        <v>1856</v>
      </c>
      <c r="B572" s="339" t="s">
        <v>160</v>
      </c>
      <c r="C572" s="340" t="s">
        <v>1190</v>
      </c>
      <c r="D572" s="446" t="s">
        <v>1857</v>
      </c>
      <c r="E572" s="342" t="s">
        <v>180</v>
      </c>
      <c r="F572" s="343"/>
      <c r="G572" s="344"/>
      <c r="H572" s="345"/>
      <c r="I572" s="345"/>
      <c r="J572" s="345"/>
      <c r="K572" s="345"/>
      <c r="L572" s="345"/>
      <c r="M572" s="346">
        <f>SUM(M573:M574)</f>
        <v>70.2</v>
      </c>
      <c r="N572" s="408"/>
      <c r="O572" s="409"/>
    </row>
    <row r="573" spans="1:15">
      <c r="A573" s="347"/>
      <c r="B573" s="347"/>
      <c r="C573" s="348"/>
      <c r="D573" s="421" t="s">
        <v>1782</v>
      </c>
      <c r="E573" s="422"/>
      <c r="F573" s="423">
        <v>70.2</v>
      </c>
      <c r="G573" s="352"/>
      <c r="H573" s="353"/>
      <c r="I573" s="353"/>
      <c r="J573" s="353"/>
      <c r="K573" s="353"/>
      <c r="L573" s="353"/>
      <c r="M573" s="353">
        <f>F573</f>
        <v>70.2</v>
      </c>
      <c r="N573" s="405"/>
      <c r="O573" s="352"/>
    </row>
    <row r="574" spans="1:15">
      <c r="A574" s="354"/>
      <c r="B574" s="354"/>
      <c r="C574" s="355"/>
      <c r="D574" s="356"/>
      <c r="E574" s="362"/>
      <c r="F574" s="358"/>
      <c r="G574" s="359"/>
      <c r="H574" s="360"/>
      <c r="I574" s="360"/>
      <c r="J574" s="360"/>
      <c r="K574" s="360"/>
      <c r="L574" s="360"/>
      <c r="M574" s="360"/>
      <c r="N574" s="406"/>
      <c r="O574" s="359"/>
    </row>
    <row r="575" spans="1:15" ht="63">
      <c r="A575" s="339" t="s">
        <v>1858</v>
      </c>
      <c r="B575" s="339" t="s">
        <v>160</v>
      </c>
      <c r="C575" s="340" t="s">
        <v>1193</v>
      </c>
      <c r="D575" s="446" t="s">
        <v>1859</v>
      </c>
      <c r="E575" s="342" t="s">
        <v>180</v>
      </c>
      <c r="F575" s="343"/>
      <c r="G575" s="344"/>
      <c r="H575" s="345"/>
      <c r="I575" s="345"/>
      <c r="J575" s="345"/>
      <c r="K575" s="345"/>
      <c r="L575" s="345"/>
      <c r="M575" s="346">
        <f>SUM(M576:M577)</f>
        <v>133.9</v>
      </c>
      <c r="N575" s="408"/>
      <c r="O575" s="409"/>
    </row>
    <row r="576" spans="1:15">
      <c r="A576" s="347"/>
      <c r="B576" s="347"/>
      <c r="C576" s="348"/>
      <c r="D576" s="421" t="s">
        <v>1782</v>
      </c>
      <c r="E576" s="422"/>
      <c r="F576" s="423">
        <v>133.9</v>
      </c>
      <c r="G576" s="352"/>
      <c r="H576" s="353"/>
      <c r="I576" s="353"/>
      <c r="J576" s="353"/>
      <c r="K576" s="353"/>
      <c r="L576" s="353"/>
      <c r="M576" s="353">
        <f>F576</f>
        <v>133.9</v>
      </c>
      <c r="N576" s="405"/>
      <c r="O576" s="352"/>
    </row>
    <row r="577" spans="1:15">
      <c r="A577" s="354"/>
      <c r="B577" s="354"/>
      <c r="C577" s="355"/>
      <c r="D577" s="356"/>
      <c r="E577" s="362"/>
      <c r="F577" s="358"/>
      <c r="G577" s="359"/>
      <c r="H577" s="360"/>
      <c r="I577" s="360"/>
      <c r="J577" s="360"/>
      <c r="K577" s="360"/>
      <c r="L577" s="360"/>
      <c r="M577" s="360"/>
      <c r="N577" s="406"/>
      <c r="O577" s="359"/>
    </row>
    <row r="578" spans="1:15">
      <c r="A578" s="339" t="s">
        <v>1860</v>
      </c>
      <c r="B578" s="339" t="s">
        <v>160</v>
      </c>
      <c r="C578" s="340" t="s">
        <v>1861</v>
      </c>
      <c r="D578" s="446" t="s">
        <v>1862</v>
      </c>
      <c r="E578" s="342" t="s">
        <v>163</v>
      </c>
      <c r="F578" s="343"/>
      <c r="G578" s="344"/>
      <c r="H578" s="345"/>
      <c r="I578" s="345"/>
      <c r="J578" s="345"/>
      <c r="K578" s="345"/>
      <c r="L578" s="345"/>
      <c r="M578" s="346">
        <f>SUM(M579:M580)</f>
        <v>1</v>
      </c>
      <c r="N578" s="408"/>
      <c r="O578" s="409"/>
    </row>
    <row r="579" spans="1:15">
      <c r="A579" s="347"/>
      <c r="B579" s="347"/>
      <c r="C579" s="348"/>
      <c r="D579" s="421" t="s">
        <v>1782</v>
      </c>
      <c r="E579" s="422"/>
      <c r="F579" s="423">
        <v>1</v>
      </c>
      <c r="G579" s="352"/>
      <c r="H579" s="353"/>
      <c r="I579" s="353"/>
      <c r="J579" s="353"/>
      <c r="K579" s="353"/>
      <c r="L579" s="353"/>
      <c r="M579" s="353">
        <f>F579</f>
        <v>1</v>
      </c>
      <c r="N579" s="405"/>
      <c r="O579" s="352"/>
    </row>
    <row r="580" spans="1:15">
      <c r="A580" s="354"/>
      <c r="B580" s="354"/>
      <c r="C580" s="355"/>
      <c r="D580" s="356"/>
      <c r="E580" s="362"/>
      <c r="F580" s="358"/>
      <c r="G580" s="359"/>
      <c r="H580" s="360"/>
      <c r="I580" s="360"/>
      <c r="J580" s="360"/>
      <c r="K580" s="360"/>
      <c r="L580" s="360"/>
      <c r="M580" s="360"/>
      <c r="N580" s="406"/>
      <c r="O580" s="359"/>
    </row>
    <row r="581" spans="1:15">
      <c r="A581" s="311" t="s">
        <v>1863</v>
      </c>
      <c r="B581" s="312"/>
      <c r="C581" s="313"/>
      <c r="D581" s="314" t="s">
        <v>112</v>
      </c>
      <c r="E581" s="327"/>
      <c r="F581" s="328"/>
      <c r="G581" s="329"/>
      <c r="H581" s="329"/>
      <c r="I581" s="329"/>
      <c r="J581" s="329"/>
      <c r="K581" s="329"/>
      <c r="L581" s="329"/>
      <c r="M581" s="330"/>
      <c r="N581" s="407"/>
      <c r="O581" s="330"/>
    </row>
    <row r="582" spans="1:15" ht="78.75">
      <c r="A582" s="339" t="s">
        <v>1864</v>
      </c>
      <c r="B582" s="339" t="s">
        <v>160</v>
      </c>
      <c r="C582" s="340" t="s">
        <v>1196</v>
      </c>
      <c r="D582" s="446" t="s">
        <v>1197</v>
      </c>
      <c r="E582" s="342" t="s">
        <v>167</v>
      </c>
      <c r="F582" s="343"/>
      <c r="G582" s="344"/>
      <c r="H582" s="345"/>
      <c r="I582" s="345"/>
      <c r="J582" s="345"/>
      <c r="K582" s="345"/>
      <c r="L582" s="345"/>
      <c r="M582" s="346">
        <f>SUM(M583:M584)</f>
        <v>3</v>
      </c>
      <c r="N582" s="408"/>
      <c r="O582" s="409"/>
    </row>
    <row r="583" spans="1:15">
      <c r="A583" s="347"/>
      <c r="B583" s="347"/>
      <c r="C583" s="348"/>
      <c r="D583" s="421" t="s">
        <v>1782</v>
      </c>
      <c r="E583" s="422"/>
      <c r="F583" s="423">
        <v>3</v>
      </c>
      <c r="G583" s="352"/>
      <c r="H583" s="353"/>
      <c r="I583" s="353"/>
      <c r="J583" s="353"/>
      <c r="K583" s="353"/>
      <c r="L583" s="353"/>
      <c r="M583" s="353">
        <f>F583</f>
        <v>3</v>
      </c>
      <c r="N583" s="405"/>
      <c r="O583" s="352"/>
    </row>
    <row r="584" spans="1:15">
      <c r="A584" s="354"/>
      <c r="B584" s="354"/>
      <c r="C584" s="355"/>
      <c r="D584" s="421"/>
      <c r="E584" s="362"/>
      <c r="F584" s="358"/>
      <c r="G584" s="359"/>
      <c r="H584" s="360"/>
      <c r="I584" s="360"/>
      <c r="J584" s="360"/>
      <c r="K584" s="360"/>
      <c r="L584" s="360"/>
      <c r="M584" s="360"/>
      <c r="N584" s="406"/>
      <c r="O584" s="359"/>
    </row>
    <row r="585" spans="1:15">
      <c r="A585" s="311" t="s">
        <v>1865</v>
      </c>
      <c r="B585" s="312"/>
      <c r="C585" s="313"/>
      <c r="D585" s="314" t="s">
        <v>114</v>
      </c>
      <c r="E585" s="327"/>
      <c r="F585" s="328"/>
      <c r="G585" s="329"/>
      <c r="H585" s="329"/>
      <c r="I585" s="329"/>
      <c r="J585" s="329"/>
      <c r="K585" s="329"/>
      <c r="L585" s="329"/>
      <c r="M585" s="330"/>
      <c r="N585" s="407"/>
      <c r="O585" s="330"/>
    </row>
    <row r="586" spans="1:15" ht="47.25">
      <c r="A586" s="339" t="s">
        <v>1866</v>
      </c>
      <c r="B586" s="339" t="s">
        <v>160</v>
      </c>
      <c r="C586" s="340" t="s">
        <v>1199</v>
      </c>
      <c r="D586" s="446" t="s">
        <v>1200</v>
      </c>
      <c r="E586" s="342" t="s">
        <v>167</v>
      </c>
      <c r="F586" s="343"/>
      <c r="G586" s="344"/>
      <c r="H586" s="345"/>
      <c r="I586" s="345"/>
      <c r="J586" s="345"/>
      <c r="K586" s="345"/>
      <c r="L586" s="345"/>
      <c r="M586" s="346">
        <f>SUM(M587:M588)</f>
        <v>2</v>
      </c>
      <c r="N586" s="408"/>
      <c r="O586" s="409"/>
    </row>
    <row r="587" spans="1:15">
      <c r="A587" s="347"/>
      <c r="B587" s="347"/>
      <c r="C587" s="348"/>
      <c r="D587" s="421" t="s">
        <v>1405</v>
      </c>
      <c r="E587" s="422"/>
      <c r="F587" s="423">
        <v>2</v>
      </c>
      <c r="G587" s="352"/>
      <c r="H587" s="353"/>
      <c r="I587" s="353"/>
      <c r="J587" s="353"/>
      <c r="K587" s="353"/>
      <c r="L587" s="353"/>
      <c r="M587" s="353">
        <f>F587</f>
        <v>2</v>
      </c>
      <c r="N587" s="405"/>
      <c r="O587" s="352"/>
    </row>
    <row r="588" spans="1:15">
      <c r="A588" s="354"/>
      <c r="B588" s="354"/>
      <c r="C588" s="355"/>
      <c r="D588" s="356"/>
      <c r="E588" s="362"/>
      <c r="F588" s="358"/>
      <c r="G588" s="359"/>
      <c r="H588" s="360"/>
      <c r="I588" s="360"/>
      <c r="J588" s="360"/>
      <c r="K588" s="360"/>
      <c r="L588" s="360"/>
      <c r="M588" s="360"/>
      <c r="N588" s="406"/>
      <c r="O588" s="359"/>
    </row>
    <row r="589" spans="1:15">
      <c r="A589" s="311" t="s">
        <v>1867</v>
      </c>
      <c r="B589" s="312"/>
      <c r="C589" s="313"/>
      <c r="D589" s="314" t="s">
        <v>68</v>
      </c>
      <c r="E589" s="327"/>
      <c r="F589" s="328"/>
      <c r="G589" s="329"/>
      <c r="H589" s="329"/>
      <c r="I589" s="329"/>
      <c r="J589" s="329"/>
      <c r="K589" s="329"/>
      <c r="L589" s="329"/>
      <c r="M589" s="330"/>
      <c r="N589" s="407"/>
      <c r="O589" s="330"/>
    </row>
    <row r="590" spans="1:15">
      <c r="A590" s="339" t="s">
        <v>1868</v>
      </c>
      <c r="B590" s="339" t="s">
        <v>160</v>
      </c>
      <c r="C590" s="340" t="s">
        <v>1202</v>
      </c>
      <c r="D590" s="436" t="s">
        <v>1203</v>
      </c>
      <c r="E590" s="437" t="s">
        <v>180</v>
      </c>
      <c r="F590" s="438"/>
      <c r="G590" s="344"/>
      <c r="H590" s="345"/>
      <c r="I590" s="345"/>
      <c r="J590" s="345"/>
      <c r="K590" s="345"/>
      <c r="L590" s="345"/>
      <c r="M590" s="346">
        <f>SUM(M591:M592)</f>
        <v>1</v>
      </c>
      <c r="N590" s="408"/>
      <c r="O590" s="409"/>
    </row>
    <row r="591" spans="1:15">
      <c r="A591" s="347"/>
      <c r="B591" s="347"/>
      <c r="C591" s="348"/>
      <c r="D591" s="421" t="s">
        <v>1869</v>
      </c>
      <c r="E591" s="422"/>
      <c r="F591" s="423">
        <v>1</v>
      </c>
      <c r="G591" s="352"/>
      <c r="H591" s="353"/>
      <c r="I591" s="353"/>
      <c r="J591" s="353"/>
      <c r="K591" s="353"/>
      <c r="L591" s="353"/>
      <c r="M591" s="353">
        <f>F591</f>
        <v>1</v>
      </c>
      <c r="N591" s="405"/>
      <c r="O591" s="352"/>
    </row>
    <row r="592" spans="1:15">
      <c r="A592" s="354"/>
      <c r="B592" s="354"/>
      <c r="C592" s="355"/>
      <c r="D592" s="356"/>
      <c r="E592" s="362"/>
      <c r="F592" s="358"/>
      <c r="G592" s="359"/>
      <c r="H592" s="360"/>
      <c r="I592" s="360"/>
      <c r="J592" s="360"/>
      <c r="K592" s="360"/>
      <c r="L592" s="360"/>
      <c r="M592" s="360"/>
      <c r="N592" s="406"/>
      <c r="O592" s="359"/>
    </row>
    <row r="593" spans="1:15">
      <c r="A593" s="339" t="s">
        <v>1870</v>
      </c>
      <c r="B593" s="339" t="s">
        <v>160</v>
      </c>
      <c r="C593" s="340" t="s">
        <v>1205</v>
      </c>
      <c r="D593" s="436" t="s">
        <v>1206</v>
      </c>
      <c r="E593" s="437" t="s">
        <v>180</v>
      </c>
      <c r="F593" s="438"/>
      <c r="G593" s="344"/>
      <c r="H593" s="345"/>
      <c r="I593" s="345"/>
      <c r="J593" s="345"/>
      <c r="K593" s="345"/>
      <c r="L593" s="345"/>
      <c r="M593" s="346">
        <f>SUM(M594:M595)</f>
        <v>1</v>
      </c>
      <c r="N593" s="408"/>
      <c r="O593" s="409"/>
    </row>
    <row r="594" spans="1:15">
      <c r="A594" s="347"/>
      <c r="B594" s="347"/>
      <c r="C594" s="348"/>
      <c r="D594" s="421" t="s">
        <v>1869</v>
      </c>
      <c r="E594" s="422"/>
      <c r="F594" s="423">
        <v>1</v>
      </c>
      <c r="G594" s="352"/>
      <c r="H594" s="353"/>
      <c r="I594" s="353"/>
      <c r="J594" s="353"/>
      <c r="K594" s="353"/>
      <c r="L594" s="353"/>
      <c r="M594" s="353">
        <f>F594</f>
        <v>1</v>
      </c>
      <c r="N594" s="405"/>
      <c r="O594" s="352"/>
    </row>
    <row r="595" spans="1:15">
      <c r="A595" s="354"/>
      <c r="B595" s="354"/>
      <c r="C595" s="355"/>
      <c r="D595" s="356"/>
      <c r="E595" s="362"/>
      <c r="F595" s="358"/>
      <c r="G595" s="359"/>
      <c r="H595" s="360"/>
      <c r="I595" s="360"/>
      <c r="J595" s="360"/>
      <c r="K595" s="360"/>
      <c r="L595" s="360"/>
      <c r="M595" s="360"/>
      <c r="N595" s="406"/>
      <c r="O595" s="359"/>
    </row>
    <row r="596" spans="1:15">
      <c r="A596" s="339" t="s">
        <v>1871</v>
      </c>
      <c r="B596" s="339" t="s">
        <v>160</v>
      </c>
      <c r="C596" s="340" t="s">
        <v>1208</v>
      </c>
      <c r="D596" s="436" t="s">
        <v>1209</v>
      </c>
      <c r="E596" s="437" t="s">
        <v>180</v>
      </c>
      <c r="F596" s="438"/>
      <c r="G596" s="344"/>
      <c r="H596" s="345"/>
      <c r="I596" s="345"/>
      <c r="J596" s="345"/>
      <c r="K596" s="345"/>
      <c r="L596" s="345"/>
      <c r="M596" s="346">
        <f>SUM(M597:M598)</f>
        <v>1</v>
      </c>
      <c r="N596" s="408"/>
      <c r="O596" s="409"/>
    </row>
    <row r="597" spans="1:15">
      <c r="A597" s="347"/>
      <c r="B597" s="347"/>
      <c r="C597" s="348"/>
      <c r="D597" s="421" t="s">
        <v>1869</v>
      </c>
      <c r="E597" s="422"/>
      <c r="F597" s="423">
        <v>1</v>
      </c>
      <c r="G597" s="352"/>
      <c r="H597" s="353"/>
      <c r="I597" s="353"/>
      <c r="J597" s="353"/>
      <c r="K597" s="353"/>
      <c r="L597" s="353"/>
      <c r="M597" s="353">
        <f>F597</f>
        <v>1</v>
      </c>
      <c r="N597" s="405"/>
      <c r="O597" s="352"/>
    </row>
    <row r="598" spans="1:15">
      <c r="A598" s="354"/>
      <c r="B598" s="354"/>
      <c r="C598" s="355"/>
      <c r="D598" s="356"/>
      <c r="E598" s="362"/>
      <c r="F598" s="358"/>
      <c r="G598" s="359"/>
      <c r="H598" s="360"/>
      <c r="I598" s="360"/>
      <c r="J598" s="360"/>
      <c r="K598" s="360"/>
      <c r="L598" s="360"/>
      <c r="M598" s="360"/>
      <c r="N598" s="406"/>
      <c r="O598" s="359"/>
    </row>
    <row r="599" spans="1:15">
      <c r="A599" s="339" t="s">
        <v>1872</v>
      </c>
      <c r="B599" s="339" t="s">
        <v>160</v>
      </c>
      <c r="C599" s="340" t="s">
        <v>1211</v>
      </c>
      <c r="D599" s="436" t="s">
        <v>1212</v>
      </c>
      <c r="E599" s="437" t="s">
        <v>180</v>
      </c>
      <c r="F599" s="438"/>
      <c r="G599" s="344"/>
      <c r="H599" s="345"/>
      <c r="I599" s="345"/>
      <c r="J599" s="345"/>
      <c r="K599" s="345"/>
      <c r="L599" s="345"/>
      <c r="M599" s="346">
        <f>SUM(M600:M601)</f>
        <v>1</v>
      </c>
      <c r="N599" s="408"/>
      <c r="O599" s="409"/>
    </row>
    <row r="600" spans="1:15">
      <c r="A600" s="347"/>
      <c r="B600" s="347"/>
      <c r="C600" s="348"/>
      <c r="D600" s="421" t="s">
        <v>1873</v>
      </c>
      <c r="E600" s="422"/>
      <c r="F600" s="423">
        <v>1</v>
      </c>
      <c r="G600" s="352"/>
      <c r="H600" s="353"/>
      <c r="I600" s="353"/>
      <c r="J600" s="353"/>
      <c r="K600" s="353"/>
      <c r="L600" s="353"/>
      <c r="M600" s="353">
        <f>F600</f>
        <v>1</v>
      </c>
      <c r="N600" s="405"/>
      <c r="O600" s="352"/>
    </row>
    <row r="601" spans="1:15">
      <c r="A601" s="354"/>
      <c r="B601" s="354"/>
      <c r="C601" s="355"/>
      <c r="D601" s="356"/>
      <c r="E601" s="362"/>
      <c r="F601" s="358"/>
      <c r="G601" s="359"/>
      <c r="H601" s="360"/>
      <c r="I601" s="360"/>
      <c r="J601" s="360"/>
      <c r="K601" s="360"/>
      <c r="L601" s="360"/>
      <c r="M601" s="360"/>
      <c r="N601" s="406"/>
      <c r="O601" s="359"/>
    </row>
    <row r="602" spans="1:15">
      <c r="A602" s="339" t="s">
        <v>1874</v>
      </c>
      <c r="B602" s="339" t="s">
        <v>160</v>
      </c>
      <c r="C602" s="340" t="s">
        <v>1214</v>
      </c>
      <c r="D602" s="436" t="s">
        <v>1215</v>
      </c>
      <c r="E602" s="437" t="s">
        <v>180</v>
      </c>
      <c r="F602" s="438"/>
      <c r="G602" s="344"/>
      <c r="H602" s="345"/>
      <c r="I602" s="345"/>
      <c r="J602" s="345"/>
      <c r="K602" s="345"/>
      <c r="L602" s="345"/>
      <c r="M602" s="346">
        <f>SUM(M603:M604)</f>
        <v>1</v>
      </c>
      <c r="N602" s="408"/>
      <c r="O602" s="409"/>
    </row>
    <row r="603" spans="1:15">
      <c r="A603" s="347"/>
      <c r="B603" s="347"/>
      <c r="C603" s="348"/>
      <c r="D603" s="421" t="s">
        <v>1873</v>
      </c>
      <c r="E603" s="422"/>
      <c r="F603" s="423">
        <v>1</v>
      </c>
      <c r="G603" s="352"/>
      <c r="H603" s="353"/>
      <c r="I603" s="353"/>
      <c r="J603" s="353"/>
      <c r="K603" s="353"/>
      <c r="L603" s="353"/>
      <c r="M603" s="353">
        <f>F603</f>
        <v>1</v>
      </c>
      <c r="N603" s="405"/>
      <c r="O603" s="352"/>
    </row>
    <row r="604" spans="1:15">
      <c r="A604" s="354"/>
      <c r="B604" s="354"/>
      <c r="C604" s="355"/>
      <c r="D604" s="356"/>
      <c r="E604" s="362"/>
      <c r="F604" s="358"/>
      <c r="G604" s="359"/>
      <c r="H604" s="360"/>
      <c r="I604" s="360"/>
      <c r="J604" s="360"/>
      <c r="K604" s="360"/>
      <c r="L604" s="360"/>
      <c r="M604" s="360"/>
      <c r="N604" s="406"/>
      <c r="O604" s="359"/>
    </row>
    <row r="605" spans="1:15">
      <c r="A605" s="339" t="s">
        <v>1875</v>
      </c>
      <c r="B605" s="339" t="s">
        <v>160</v>
      </c>
      <c r="C605" s="340" t="s">
        <v>1217</v>
      </c>
      <c r="D605" s="436" t="s">
        <v>1218</v>
      </c>
      <c r="E605" s="437" t="s">
        <v>180</v>
      </c>
      <c r="F605" s="438"/>
      <c r="G605" s="344"/>
      <c r="H605" s="345"/>
      <c r="I605" s="345"/>
      <c r="J605" s="345"/>
      <c r="K605" s="345"/>
      <c r="L605" s="345"/>
      <c r="M605" s="346">
        <f>SUM(M606:M607)</f>
        <v>0</v>
      </c>
      <c r="N605" s="408"/>
      <c r="O605" s="409"/>
    </row>
    <row r="606" spans="1:15">
      <c r="A606" s="347"/>
      <c r="B606" s="347"/>
      <c r="C606" s="348"/>
      <c r="D606" s="421"/>
      <c r="E606" s="422"/>
      <c r="F606" s="423"/>
      <c r="G606" s="352"/>
      <c r="H606" s="353"/>
      <c r="I606" s="353"/>
      <c r="J606" s="353"/>
      <c r="K606" s="353"/>
      <c r="L606" s="353"/>
      <c r="M606" s="353">
        <f>F605</f>
        <v>0</v>
      </c>
      <c r="N606" s="405"/>
      <c r="O606" s="352"/>
    </row>
    <row r="607" spans="1:15">
      <c r="A607" s="366"/>
      <c r="B607" s="366"/>
      <c r="C607" s="367"/>
      <c r="D607" s="421" t="s">
        <v>1873</v>
      </c>
      <c r="E607" s="361"/>
      <c r="F607" s="363">
        <v>1</v>
      </c>
      <c r="G607" s="352"/>
      <c r="H607" s="353"/>
      <c r="I607" s="353"/>
      <c r="J607" s="353"/>
      <c r="K607" s="353"/>
      <c r="L607" s="353"/>
      <c r="M607" s="353">
        <f>F606</f>
        <v>0</v>
      </c>
      <c r="N607" s="405"/>
      <c r="O607" s="352"/>
    </row>
    <row r="608" spans="1:15">
      <c r="A608" s="368"/>
      <c r="B608" s="368"/>
      <c r="C608" s="369"/>
      <c r="D608" s="356"/>
      <c r="E608" s="362"/>
      <c r="F608" s="364"/>
      <c r="G608" s="359"/>
      <c r="H608" s="360"/>
      <c r="I608" s="360"/>
      <c r="J608" s="360"/>
      <c r="K608" s="360"/>
      <c r="L608" s="360"/>
      <c r="M608" s="360"/>
      <c r="N608" s="406"/>
      <c r="O608" s="359"/>
    </row>
    <row r="609" spans="1:15">
      <c r="A609" s="339" t="s">
        <v>1876</v>
      </c>
      <c r="B609" s="339" t="s">
        <v>160</v>
      </c>
      <c r="C609" s="340" t="s">
        <v>1220</v>
      </c>
      <c r="D609" s="436" t="s">
        <v>1221</v>
      </c>
      <c r="E609" s="437" t="s">
        <v>180</v>
      </c>
      <c r="F609" s="438"/>
      <c r="G609" s="344"/>
      <c r="H609" s="345"/>
      <c r="I609" s="345"/>
      <c r="J609" s="345"/>
      <c r="K609" s="345"/>
      <c r="L609" s="345"/>
      <c r="M609" s="346">
        <f>SUM(M610:M611)</f>
        <v>554.31999999999994</v>
      </c>
      <c r="N609" s="408"/>
      <c r="O609" s="409"/>
    </row>
    <row r="610" spans="1:15">
      <c r="A610" s="347"/>
      <c r="B610" s="347"/>
      <c r="C610" s="348"/>
      <c r="D610" s="421" t="s">
        <v>1877</v>
      </c>
      <c r="E610" s="422"/>
      <c r="F610" s="423">
        <f>(400+(0.3*88))*1.3</f>
        <v>554.31999999999994</v>
      </c>
      <c r="G610" s="352"/>
      <c r="H610" s="353"/>
      <c r="I610" s="353"/>
      <c r="J610" s="353"/>
      <c r="K610" s="353"/>
      <c r="L610" s="353"/>
      <c r="M610" s="353">
        <f>F610</f>
        <v>554.31999999999994</v>
      </c>
      <c r="N610" s="405"/>
      <c r="O610" s="352"/>
    </row>
    <row r="611" spans="1:15">
      <c r="A611" s="366"/>
      <c r="B611" s="366"/>
      <c r="C611" s="367"/>
      <c r="D611" s="421" t="s">
        <v>1869</v>
      </c>
      <c r="E611" s="361"/>
      <c r="F611" s="363"/>
      <c r="G611" s="352"/>
      <c r="H611" s="353"/>
      <c r="I611" s="353"/>
      <c r="J611" s="353"/>
      <c r="K611" s="353"/>
      <c r="L611" s="353"/>
      <c r="M611" s="353"/>
      <c r="N611" s="405"/>
      <c r="O611" s="352"/>
    </row>
    <row r="612" spans="1:15">
      <c r="A612" s="368"/>
      <c r="B612" s="368"/>
      <c r="C612" s="369"/>
      <c r="D612" s="356"/>
      <c r="E612" s="362"/>
      <c r="F612" s="364"/>
      <c r="G612" s="359"/>
      <c r="H612" s="360"/>
      <c r="I612" s="360"/>
      <c r="J612" s="360"/>
      <c r="K612" s="360"/>
      <c r="L612" s="360"/>
      <c r="M612" s="360"/>
      <c r="N612" s="406"/>
      <c r="O612" s="359"/>
    </row>
    <row r="613" spans="1:15">
      <c r="A613" s="339" t="s">
        <v>1878</v>
      </c>
      <c r="B613" s="339" t="s">
        <v>160</v>
      </c>
      <c r="C613" s="340" t="s">
        <v>1220</v>
      </c>
      <c r="D613" s="436" t="s">
        <v>1224</v>
      </c>
      <c r="E613" s="437" t="s">
        <v>180</v>
      </c>
      <c r="F613" s="438"/>
      <c r="G613" s="344"/>
      <c r="H613" s="345"/>
      <c r="I613" s="345"/>
      <c r="J613" s="345"/>
      <c r="K613" s="345"/>
      <c r="L613" s="345"/>
      <c r="M613" s="346">
        <f>SUM(M614:M615)</f>
        <v>3770</v>
      </c>
      <c r="N613" s="408"/>
      <c r="O613" s="409"/>
    </row>
    <row r="614" spans="1:15">
      <c r="A614" s="347"/>
      <c r="B614" s="347"/>
      <c r="C614" s="348"/>
      <c r="D614" s="421" t="s">
        <v>1877</v>
      </c>
      <c r="E614" s="422"/>
      <c r="F614" s="423"/>
      <c r="G614" s="352"/>
      <c r="H614" s="353"/>
      <c r="I614" s="353"/>
      <c r="J614" s="353"/>
      <c r="K614" s="353"/>
      <c r="L614" s="353"/>
      <c r="M614" s="353">
        <f>F614</f>
        <v>0</v>
      </c>
      <c r="N614" s="405"/>
      <c r="O614" s="352"/>
    </row>
    <row r="615" spans="1:15">
      <c r="A615" s="366"/>
      <c r="B615" s="366"/>
      <c r="C615" s="367"/>
      <c r="D615" s="421" t="s">
        <v>1869</v>
      </c>
      <c r="E615" s="361"/>
      <c r="F615" s="363">
        <f>2900*1.3</f>
        <v>3770</v>
      </c>
      <c r="G615" s="352"/>
      <c r="H615" s="353"/>
      <c r="I615" s="353"/>
      <c r="J615" s="353"/>
      <c r="K615" s="353"/>
      <c r="L615" s="353"/>
      <c r="M615" s="353">
        <f>F615</f>
        <v>3770</v>
      </c>
      <c r="N615" s="405"/>
      <c r="O615" s="352"/>
    </row>
    <row r="616" spans="1:15">
      <c r="A616" s="368"/>
      <c r="B616" s="368"/>
      <c r="C616" s="369"/>
      <c r="D616" s="356"/>
      <c r="E616" s="362"/>
      <c r="F616" s="364"/>
      <c r="G616" s="359"/>
      <c r="H616" s="360"/>
      <c r="I616" s="360"/>
      <c r="J616" s="360"/>
      <c r="K616" s="360"/>
      <c r="L616" s="360"/>
      <c r="M616" s="360"/>
      <c r="N616" s="406"/>
      <c r="O616" s="359"/>
    </row>
    <row r="617" spans="1:15">
      <c r="A617" s="339" t="s">
        <v>1879</v>
      </c>
      <c r="B617" s="339" t="s">
        <v>3</v>
      </c>
      <c r="C617" s="340" t="s">
        <v>348</v>
      </c>
      <c r="D617" s="436" t="s">
        <v>349</v>
      </c>
      <c r="E617" s="437" t="s">
        <v>163</v>
      </c>
      <c r="F617" s="438"/>
      <c r="G617" s="344"/>
      <c r="H617" s="345"/>
      <c r="I617" s="345"/>
      <c r="J617" s="345"/>
      <c r="K617" s="345"/>
      <c r="L617" s="345"/>
      <c r="M617" s="346">
        <f>SUM(M618:M619)</f>
        <v>349</v>
      </c>
      <c r="N617" s="408"/>
      <c r="O617" s="409"/>
    </row>
    <row r="618" spans="1:15">
      <c r="A618" s="347"/>
      <c r="B618" s="347"/>
      <c r="C618" s="348"/>
      <c r="D618" s="421" t="s">
        <v>1877</v>
      </c>
      <c r="E618" s="422"/>
      <c r="F618" s="423">
        <v>117</v>
      </c>
      <c r="G618" s="352"/>
      <c r="H618" s="353"/>
      <c r="I618" s="353"/>
      <c r="J618" s="353"/>
      <c r="K618" s="353"/>
      <c r="L618" s="353"/>
      <c r="M618" s="353">
        <f>F618</f>
        <v>117</v>
      </c>
      <c r="N618" s="405"/>
      <c r="O618" s="352"/>
    </row>
    <row r="619" spans="1:15">
      <c r="A619" s="366"/>
      <c r="B619" s="366"/>
      <c r="C619" s="367"/>
      <c r="D619" s="421" t="s">
        <v>1869</v>
      </c>
      <c r="E619" s="361"/>
      <c r="F619" s="363">
        <f>116*2</f>
        <v>232</v>
      </c>
      <c r="G619" s="352"/>
      <c r="H619" s="353"/>
      <c r="I619" s="353"/>
      <c r="J619" s="353"/>
      <c r="K619" s="353"/>
      <c r="L619" s="353"/>
      <c r="M619" s="353">
        <f>F619</f>
        <v>232</v>
      </c>
      <c r="N619" s="405"/>
      <c r="O619" s="352"/>
    </row>
    <row r="620" spans="1:15">
      <c r="A620" s="368"/>
      <c r="B620" s="368"/>
      <c r="C620" s="369"/>
      <c r="D620" s="356"/>
      <c r="E620" s="362"/>
      <c r="F620" s="364"/>
      <c r="G620" s="359"/>
      <c r="H620" s="360"/>
      <c r="I620" s="360"/>
      <c r="J620" s="360"/>
      <c r="K620" s="360"/>
      <c r="L620" s="360"/>
      <c r="M620" s="360"/>
      <c r="N620" s="406"/>
      <c r="O620" s="359"/>
    </row>
    <row r="621" spans="1:15">
      <c r="A621" s="339" t="s">
        <v>1880</v>
      </c>
      <c r="B621" s="339" t="s">
        <v>3</v>
      </c>
      <c r="C621" s="340" t="s">
        <v>1227</v>
      </c>
      <c r="D621" s="436" t="s">
        <v>1228</v>
      </c>
      <c r="E621" s="422" t="s">
        <v>180</v>
      </c>
      <c r="F621" s="423"/>
      <c r="G621" s="344"/>
      <c r="H621" s="345"/>
      <c r="I621" s="345"/>
      <c r="J621" s="345"/>
      <c r="K621" s="345"/>
      <c r="L621" s="345"/>
      <c r="M621" s="346">
        <f>SUM(M622:M623)</f>
        <v>456.54999999999995</v>
      </c>
      <c r="N621" s="408"/>
      <c r="O621" s="409"/>
    </row>
    <row r="622" spans="1:15">
      <c r="A622" s="347"/>
      <c r="B622" s="347"/>
      <c r="C622" s="348"/>
      <c r="D622" s="421" t="s">
        <v>1877</v>
      </c>
      <c r="E622" s="422"/>
      <c r="F622" s="423">
        <v>0</v>
      </c>
      <c r="G622" s="352"/>
      <c r="H622" s="353"/>
      <c r="I622" s="353"/>
      <c r="J622" s="353"/>
      <c r="K622" s="353"/>
      <c r="L622" s="353"/>
      <c r="M622" s="353">
        <f>F622</f>
        <v>0</v>
      </c>
      <c r="N622" s="405"/>
      <c r="O622" s="352"/>
    </row>
    <row r="623" spans="1:15">
      <c r="A623" s="366"/>
      <c r="B623" s="366"/>
      <c r="C623" s="367"/>
      <c r="D623" s="421" t="s">
        <v>1869</v>
      </c>
      <c r="E623" s="361"/>
      <c r="F623" s="363">
        <f>397*1.15</f>
        <v>456.54999999999995</v>
      </c>
      <c r="G623" s="352"/>
      <c r="H623" s="353"/>
      <c r="I623" s="353"/>
      <c r="J623" s="353"/>
      <c r="K623" s="353"/>
      <c r="L623" s="353"/>
      <c r="M623" s="353">
        <f>F623</f>
        <v>456.54999999999995</v>
      </c>
      <c r="N623" s="405"/>
      <c r="O623" s="352"/>
    </row>
    <row r="624" spans="1:15">
      <c r="A624" s="368"/>
      <c r="B624" s="368"/>
      <c r="C624" s="369"/>
      <c r="D624" s="356"/>
      <c r="E624" s="362"/>
      <c r="F624" s="364"/>
      <c r="G624" s="359"/>
      <c r="H624" s="360"/>
      <c r="I624" s="360"/>
      <c r="J624" s="360"/>
      <c r="K624" s="360"/>
      <c r="L624" s="360"/>
      <c r="M624" s="360"/>
      <c r="N624" s="406"/>
      <c r="O624" s="359"/>
    </row>
    <row r="625" spans="1:15" ht="31.5">
      <c r="A625" s="339" t="s">
        <v>1881</v>
      </c>
      <c r="B625" s="339" t="s">
        <v>2</v>
      </c>
      <c r="C625" s="340">
        <v>91939</v>
      </c>
      <c r="D625" s="436" t="s">
        <v>1230</v>
      </c>
      <c r="E625" s="437" t="s">
        <v>167</v>
      </c>
      <c r="F625" s="438"/>
      <c r="G625" s="344"/>
      <c r="H625" s="345"/>
      <c r="I625" s="345"/>
      <c r="J625" s="345"/>
      <c r="K625" s="345"/>
      <c r="L625" s="345"/>
      <c r="M625" s="346">
        <f>SUM(M626:M627)</f>
        <v>118</v>
      </c>
      <c r="N625" s="408"/>
      <c r="O625" s="409"/>
    </row>
    <row r="626" spans="1:15">
      <c r="A626" s="347"/>
      <c r="B626" s="347"/>
      <c r="C626" s="348"/>
      <c r="D626" s="421" t="s">
        <v>1877</v>
      </c>
      <c r="E626" s="422"/>
      <c r="F626" s="423"/>
      <c r="G626" s="352"/>
      <c r="H626" s="353"/>
      <c r="I626" s="353"/>
      <c r="J626" s="353"/>
      <c r="K626" s="353"/>
      <c r="L626" s="353"/>
      <c r="M626" s="353">
        <f>F626</f>
        <v>0</v>
      </c>
      <c r="N626" s="405"/>
      <c r="O626" s="352"/>
    </row>
    <row r="627" spans="1:15">
      <c r="A627" s="366"/>
      <c r="B627" s="366"/>
      <c r="C627" s="367"/>
      <c r="D627" s="421" t="s">
        <v>1869</v>
      </c>
      <c r="E627" s="361"/>
      <c r="F627" s="363">
        <v>118</v>
      </c>
      <c r="G627" s="352"/>
      <c r="H627" s="353"/>
      <c r="I627" s="353"/>
      <c r="J627" s="353"/>
      <c r="K627" s="353"/>
      <c r="L627" s="353"/>
      <c r="M627" s="353">
        <f>F627</f>
        <v>118</v>
      </c>
      <c r="N627" s="405"/>
      <c r="O627" s="352"/>
    </row>
    <row r="628" spans="1:15">
      <c r="A628" s="368"/>
      <c r="B628" s="368"/>
      <c r="C628" s="369"/>
      <c r="D628" s="356"/>
      <c r="E628" s="362"/>
      <c r="F628" s="364"/>
      <c r="G628" s="359"/>
      <c r="H628" s="360"/>
      <c r="I628" s="360"/>
      <c r="J628" s="360"/>
      <c r="K628" s="360"/>
      <c r="L628" s="360"/>
      <c r="M628" s="360"/>
      <c r="N628" s="406"/>
      <c r="O628" s="359"/>
    </row>
    <row r="629" spans="1:15" ht="31.5">
      <c r="A629" s="339" t="s">
        <v>1882</v>
      </c>
      <c r="B629" s="339" t="s">
        <v>2</v>
      </c>
      <c r="C629" s="340">
        <v>91871</v>
      </c>
      <c r="D629" s="436" t="s">
        <v>1232</v>
      </c>
      <c r="E629" s="437" t="s">
        <v>180</v>
      </c>
      <c r="F629" s="438"/>
      <c r="G629" s="344"/>
      <c r="H629" s="345"/>
      <c r="I629" s="345"/>
      <c r="J629" s="345"/>
      <c r="K629" s="345"/>
      <c r="L629" s="345"/>
      <c r="M629" s="346">
        <f>SUM(M630:M631)</f>
        <v>162.83999999999997</v>
      </c>
      <c r="N629" s="408"/>
      <c r="O629" s="409"/>
    </row>
    <row r="630" spans="1:15">
      <c r="A630" s="347"/>
      <c r="B630" s="347"/>
      <c r="C630" s="348"/>
      <c r="D630" s="421" t="s">
        <v>1877</v>
      </c>
      <c r="E630" s="422"/>
      <c r="F630" s="423"/>
      <c r="G630" s="352"/>
      <c r="H630" s="353"/>
      <c r="I630" s="353"/>
      <c r="J630" s="353"/>
      <c r="K630" s="353"/>
      <c r="L630" s="353"/>
      <c r="M630" s="353">
        <f>F630</f>
        <v>0</v>
      </c>
      <c r="N630" s="405"/>
      <c r="O630" s="352"/>
    </row>
    <row r="631" spans="1:15">
      <c r="A631" s="366"/>
      <c r="B631" s="366"/>
      <c r="C631" s="367"/>
      <c r="D631" s="421" t="s">
        <v>1869</v>
      </c>
      <c r="E631" s="361"/>
      <c r="F631" s="363">
        <f>118*1.2*1.15</f>
        <v>162.83999999999997</v>
      </c>
      <c r="G631" s="352"/>
      <c r="H631" s="353"/>
      <c r="I631" s="353"/>
      <c r="J631" s="353"/>
      <c r="K631" s="353"/>
      <c r="L631" s="353"/>
      <c r="M631" s="353">
        <f>F631</f>
        <v>162.83999999999997</v>
      </c>
      <c r="N631" s="405"/>
      <c r="O631" s="352"/>
    </row>
    <row r="632" spans="1:15">
      <c r="A632" s="368"/>
      <c r="B632" s="368"/>
      <c r="C632" s="369"/>
      <c r="D632" s="356"/>
      <c r="E632" s="362"/>
      <c r="F632" s="364"/>
      <c r="G632" s="359"/>
      <c r="H632" s="360"/>
      <c r="I632" s="360"/>
      <c r="J632" s="360"/>
      <c r="K632" s="360"/>
      <c r="L632" s="360"/>
      <c r="M632" s="360"/>
      <c r="N632" s="406"/>
      <c r="O632" s="359"/>
    </row>
    <row r="633" spans="1:15" ht="31.5">
      <c r="A633" s="339" t="s">
        <v>1883</v>
      </c>
      <c r="B633" s="339" t="s">
        <v>3</v>
      </c>
      <c r="C633" s="340" t="s">
        <v>359</v>
      </c>
      <c r="D633" s="446" t="s">
        <v>907</v>
      </c>
      <c r="E633" s="437" t="s">
        <v>180</v>
      </c>
      <c r="F633" s="438"/>
      <c r="G633" s="344"/>
      <c r="H633" s="345"/>
      <c r="I633" s="345"/>
      <c r="J633" s="345"/>
      <c r="K633" s="345"/>
      <c r="L633" s="345"/>
      <c r="M633" s="346">
        <f>SUM(M634:M635)</f>
        <v>1006.25</v>
      </c>
      <c r="N633" s="408"/>
      <c r="O633" s="409"/>
    </row>
    <row r="634" spans="1:15">
      <c r="A634" s="347"/>
      <c r="B634" s="347"/>
      <c r="C634" s="348"/>
      <c r="D634" s="421" t="s">
        <v>1877</v>
      </c>
      <c r="E634" s="422"/>
      <c r="F634" s="423">
        <f>400*1.15</f>
        <v>459.99999999999994</v>
      </c>
      <c r="G634" s="352"/>
      <c r="H634" s="353"/>
      <c r="I634" s="353"/>
      <c r="J634" s="353"/>
      <c r="K634" s="353"/>
      <c r="L634" s="353"/>
      <c r="M634" s="353">
        <f>F634</f>
        <v>459.99999999999994</v>
      </c>
      <c r="N634" s="405"/>
      <c r="O634" s="352"/>
    </row>
    <row r="635" spans="1:15">
      <c r="A635" s="366"/>
      <c r="B635" s="366"/>
      <c r="C635" s="367"/>
      <c r="D635" s="421" t="s">
        <v>1869</v>
      </c>
      <c r="E635" s="361"/>
      <c r="F635" s="363">
        <f>475*1.15</f>
        <v>546.25</v>
      </c>
      <c r="G635" s="352"/>
      <c r="H635" s="353"/>
      <c r="I635" s="353"/>
      <c r="J635" s="353"/>
      <c r="K635" s="353"/>
      <c r="L635" s="353"/>
      <c r="M635" s="353">
        <f>F635</f>
        <v>546.25</v>
      </c>
      <c r="N635" s="405"/>
      <c r="O635" s="352"/>
    </row>
    <row r="636" spans="1:15">
      <c r="A636" s="368"/>
      <c r="B636" s="368"/>
      <c r="C636" s="369"/>
      <c r="D636" s="356"/>
      <c r="E636" s="362"/>
      <c r="F636" s="364"/>
      <c r="G636" s="359"/>
      <c r="H636" s="360"/>
      <c r="I636" s="360"/>
      <c r="J636" s="360"/>
      <c r="K636" s="360"/>
      <c r="L636" s="360"/>
      <c r="M636" s="360"/>
      <c r="N636" s="406"/>
      <c r="O636" s="359"/>
    </row>
    <row r="637" spans="1:15">
      <c r="A637" s="339" t="s">
        <v>1884</v>
      </c>
      <c r="B637" s="339" t="s">
        <v>3</v>
      </c>
      <c r="C637" s="340" t="s">
        <v>214</v>
      </c>
      <c r="D637" s="436" t="s">
        <v>365</v>
      </c>
      <c r="E637" s="437" t="s">
        <v>180</v>
      </c>
      <c r="F637" s="438"/>
      <c r="G637" s="344"/>
      <c r="H637" s="345"/>
      <c r="I637" s="345"/>
      <c r="J637" s="345"/>
      <c r="K637" s="345"/>
      <c r="L637" s="345"/>
      <c r="M637" s="346">
        <f>SUM(M638:M639)</f>
        <v>10</v>
      </c>
      <c r="N637" s="408"/>
      <c r="O637" s="409"/>
    </row>
    <row r="638" spans="1:15">
      <c r="A638" s="347"/>
      <c r="B638" s="347"/>
      <c r="C638" s="348"/>
      <c r="D638" s="421" t="s">
        <v>1877</v>
      </c>
      <c r="E638" s="422"/>
      <c r="F638" s="423"/>
      <c r="G638" s="352"/>
      <c r="H638" s="353"/>
      <c r="I638" s="353"/>
      <c r="J638" s="353"/>
      <c r="K638" s="353"/>
      <c r="L638" s="353"/>
      <c r="M638" s="353">
        <f>F638</f>
        <v>0</v>
      </c>
      <c r="N638" s="405"/>
      <c r="O638" s="352"/>
    </row>
    <row r="639" spans="1:15">
      <c r="A639" s="366"/>
      <c r="B639" s="366"/>
      <c r="C639" s="367"/>
      <c r="D639" s="421" t="s">
        <v>1869</v>
      </c>
      <c r="E639" s="361"/>
      <c r="F639" s="363">
        <v>10</v>
      </c>
      <c r="G639" s="352"/>
      <c r="H639" s="353"/>
      <c r="I639" s="353"/>
      <c r="J639" s="353"/>
      <c r="K639" s="353"/>
      <c r="L639" s="353"/>
      <c r="M639" s="353">
        <f>F639</f>
        <v>10</v>
      </c>
      <c r="N639" s="405"/>
      <c r="O639" s="352"/>
    </row>
    <row r="640" spans="1:15">
      <c r="A640" s="368"/>
      <c r="B640" s="368"/>
      <c r="C640" s="369"/>
      <c r="D640" s="356"/>
      <c r="E640" s="362"/>
      <c r="F640" s="364"/>
      <c r="G640" s="359"/>
      <c r="H640" s="360"/>
      <c r="I640" s="360"/>
      <c r="J640" s="360"/>
      <c r="K640" s="360"/>
      <c r="L640" s="360"/>
      <c r="M640" s="360"/>
      <c r="N640" s="406"/>
      <c r="O640" s="359"/>
    </row>
    <row r="641" spans="1:15" ht="47.25">
      <c r="A641" s="339" t="s">
        <v>1885</v>
      </c>
      <c r="B641" s="339" t="s">
        <v>3</v>
      </c>
      <c r="C641" s="340" t="s">
        <v>933</v>
      </c>
      <c r="D641" s="341" t="s">
        <v>934</v>
      </c>
      <c r="E641" s="437" t="s">
        <v>180</v>
      </c>
      <c r="F641" s="438"/>
      <c r="G641" s="344"/>
      <c r="H641" s="345"/>
      <c r="I641" s="345"/>
      <c r="J641" s="345"/>
      <c r="K641" s="345"/>
      <c r="L641" s="345"/>
      <c r="M641" s="346">
        <f>SUM(M642:M643)</f>
        <v>155.25</v>
      </c>
      <c r="N641" s="408"/>
      <c r="O641" s="409"/>
    </row>
    <row r="642" spans="1:15">
      <c r="A642" s="347"/>
      <c r="B642" s="347"/>
      <c r="C642" s="348"/>
      <c r="D642" s="421" t="s">
        <v>1877</v>
      </c>
      <c r="E642" s="422"/>
      <c r="F642" s="423"/>
      <c r="G642" s="352"/>
      <c r="H642" s="353"/>
      <c r="I642" s="353"/>
      <c r="J642" s="353"/>
      <c r="K642" s="353"/>
      <c r="L642" s="353"/>
      <c r="M642" s="353">
        <f>F642</f>
        <v>0</v>
      </c>
      <c r="N642" s="405"/>
      <c r="O642" s="352"/>
    </row>
    <row r="643" spans="1:15">
      <c r="A643" s="366"/>
      <c r="B643" s="366"/>
      <c r="C643" s="367"/>
      <c r="D643" s="421" t="s">
        <v>1869</v>
      </c>
      <c r="E643" s="361"/>
      <c r="F643" s="363">
        <f>135*1.15</f>
        <v>155.25</v>
      </c>
      <c r="G643" s="352"/>
      <c r="H643" s="353"/>
      <c r="I643" s="353"/>
      <c r="J643" s="353"/>
      <c r="K643" s="353"/>
      <c r="L643" s="353"/>
      <c r="M643" s="353">
        <f>F643</f>
        <v>155.25</v>
      </c>
      <c r="N643" s="405"/>
      <c r="O643" s="352"/>
    </row>
    <row r="644" spans="1:15">
      <c r="A644" s="368"/>
      <c r="B644" s="368"/>
      <c r="C644" s="369"/>
      <c r="D644" s="356"/>
      <c r="E644" s="362"/>
      <c r="F644" s="364"/>
      <c r="G644" s="359"/>
      <c r="H644" s="360"/>
      <c r="I644" s="360"/>
      <c r="J644" s="360"/>
      <c r="K644" s="360"/>
      <c r="L644" s="360"/>
      <c r="M644" s="360"/>
      <c r="N644" s="406"/>
      <c r="O644" s="359"/>
    </row>
    <row r="645" spans="1:15" ht="31.5">
      <c r="A645" s="339" t="s">
        <v>1886</v>
      </c>
      <c r="B645" s="339" t="s">
        <v>3</v>
      </c>
      <c r="C645" s="340" t="s">
        <v>912</v>
      </c>
      <c r="D645" s="436" t="s">
        <v>913</v>
      </c>
      <c r="E645" s="437" t="s">
        <v>167</v>
      </c>
      <c r="F645" s="438"/>
      <c r="G645" s="344"/>
      <c r="H645" s="345"/>
      <c r="I645" s="345"/>
      <c r="J645" s="345"/>
      <c r="K645" s="345"/>
      <c r="L645" s="345"/>
      <c r="M645" s="346">
        <f>SUM(M646:M647)</f>
        <v>384</v>
      </c>
      <c r="N645" s="408"/>
      <c r="O645" s="409"/>
    </row>
    <row r="646" spans="1:15">
      <c r="A646" s="347"/>
      <c r="B646" s="347"/>
      <c r="C646" s="348"/>
      <c r="D646" s="421" t="s">
        <v>1877</v>
      </c>
      <c r="E646" s="422"/>
      <c r="F646" s="423">
        <v>106</v>
      </c>
      <c r="G646" s="352"/>
      <c r="H646" s="353"/>
      <c r="I646" s="353"/>
      <c r="J646" s="353"/>
      <c r="K646" s="353"/>
      <c r="L646" s="353"/>
      <c r="M646" s="353">
        <f>F646</f>
        <v>106</v>
      </c>
      <c r="N646" s="405"/>
      <c r="O646" s="352"/>
    </row>
    <row r="647" spans="1:15">
      <c r="A647" s="366"/>
      <c r="B647" s="366"/>
      <c r="C647" s="367"/>
      <c r="D647" s="421" t="s">
        <v>1869</v>
      </c>
      <c r="E647" s="361"/>
      <c r="F647" s="363">
        <v>278</v>
      </c>
      <c r="G647" s="352"/>
      <c r="H647" s="353"/>
      <c r="I647" s="353"/>
      <c r="J647" s="353"/>
      <c r="K647" s="353"/>
      <c r="L647" s="353"/>
      <c r="M647" s="353">
        <f>F647</f>
        <v>278</v>
      </c>
      <c r="N647" s="405"/>
      <c r="O647" s="352"/>
    </row>
    <row r="648" spans="1:15">
      <c r="A648" s="368"/>
      <c r="B648" s="368"/>
      <c r="C648" s="369"/>
      <c r="D648" s="356"/>
      <c r="E648" s="362"/>
      <c r="F648" s="364"/>
      <c r="G648" s="359"/>
      <c r="H648" s="360"/>
      <c r="I648" s="360"/>
      <c r="J648" s="360"/>
      <c r="K648" s="360"/>
      <c r="L648" s="360"/>
      <c r="M648" s="360"/>
      <c r="N648" s="406"/>
      <c r="O648" s="359"/>
    </row>
    <row r="649" spans="1:15" ht="31.5">
      <c r="A649" s="339" t="s">
        <v>1887</v>
      </c>
      <c r="B649" s="339" t="s">
        <v>3</v>
      </c>
      <c r="C649" s="340" t="s">
        <v>915</v>
      </c>
      <c r="D649" s="436" t="s">
        <v>916</v>
      </c>
      <c r="E649" s="437" t="s">
        <v>167</v>
      </c>
      <c r="F649" s="438"/>
      <c r="G649" s="344"/>
      <c r="H649" s="345"/>
      <c r="I649" s="345"/>
      <c r="J649" s="345"/>
      <c r="K649" s="345"/>
      <c r="L649" s="345"/>
      <c r="M649" s="346">
        <f>SUM(M650:M651)</f>
        <v>9</v>
      </c>
      <c r="N649" s="408"/>
      <c r="O649" s="409"/>
    </row>
    <row r="650" spans="1:15">
      <c r="A650" s="347"/>
      <c r="B650" s="347"/>
      <c r="C650" s="348"/>
      <c r="D650" s="421" t="s">
        <v>1877</v>
      </c>
      <c r="E650" s="422"/>
      <c r="F650" s="423">
        <v>1</v>
      </c>
      <c r="G650" s="352"/>
      <c r="H650" s="353"/>
      <c r="I650" s="353"/>
      <c r="J650" s="353"/>
      <c r="K650" s="353"/>
      <c r="L650" s="353"/>
      <c r="M650" s="353">
        <f>F650</f>
        <v>1</v>
      </c>
      <c r="N650" s="405"/>
      <c r="O650" s="352"/>
    </row>
    <row r="651" spans="1:15">
      <c r="A651" s="366"/>
      <c r="B651" s="366"/>
      <c r="C651" s="367"/>
      <c r="D651" s="421" t="s">
        <v>1869</v>
      </c>
      <c r="E651" s="361"/>
      <c r="F651" s="363">
        <v>8</v>
      </c>
      <c r="G651" s="352"/>
      <c r="H651" s="353"/>
      <c r="I651" s="353"/>
      <c r="J651" s="353"/>
      <c r="K651" s="353"/>
      <c r="L651" s="353"/>
      <c r="M651" s="353">
        <f>F651</f>
        <v>8</v>
      </c>
      <c r="N651" s="405"/>
      <c r="O651" s="352"/>
    </row>
    <row r="652" spans="1:15">
      <c r="A652" s="368"/>
      <c r="B652" s="368"/>
      <c r="C652" s="369"/>
      <c r="D652" s="356"/>
      <c r="E652" s="362"/>
      <c r="F652" s="364"/>
      <c r="G652" s="359"/>
      <c r="H652" s="360"/>
      <c r="I652" s="360"/>
      <c r="J652" s="360"/>
      <c r="K652" s="360"/>
      <c r="L652" s="360"/>
      <c r="M652" s="360"/>
      <c r="N652" s="406"/>
      <c r="O652" s="359"/>
    </row>
    <row r="653" spans="1:15" ht="31.5">
      <c r="A653" s="339" t="s">
        <v>1888</v>
      </c>
      <c r="B653" s="339" t="s">
        <v>3</v>
      </c>
      <c r="C653" s="340" t="s">
        <v>226</v>
      </c>
      <c r="D653" s="436" t="s">
        <v>227</v>
      </c>
      <c r="E653" s="437" t="s">
        <v>167</v>
      </c>
      <c r="F653" s="438"/>
      <c r="G653" s="344"/>
      <c r="H653" s="345"/>
      <c r="I653" s="345"/>
      <c r="J653" s="345"/>
      <c r="K653" s="345"/>
      <c r="L653" s="345"/>
      <c r="M653" s="346">
        <f>SUM(M654:M655)</f>
        <v>50</v>
      </c>
      <c r="N653" s="408"/>
      <c r="O653" s="409"/>
    </row>
    <row r="654" spans="1:15">
      <c r="A654" s="347"/>
      <c r="B654" s="347"/>
      <c r="C654" s="348"/>
      <c r="D654" s="421" t="s">
        <v>1877</v>
      </c>
      <c r="E654" s="422"/>
      <c r="F654" s="423">
        <v>7</v>
      </c>
      <c r="G654" s="352"/>
      <c r="H654" s="353"/>
      <c r="I654" s="353"/>
      <c r="J654" s="353"/>
      <c r="K654" s="353"/>
      <c r="L654" s="353"/>
      <c r="M654" s="353">
        <f>F654</f>
        <v>7</v>
      </c>
      <c r="N654" s="405"/>
      <c r="O654" s="352"/>
    </row>
    <row r="655" spans="1:15">
      <c r="A655" s="366"/>
      <c r="B655" s="366"/>
      <c r="C655" s="367"/>
      <c r="D655" s="421" t="s">
        <v>1869</v>
      </c>
      <c r="E655" s="361"/>
      <c r="F655" s="363">
        <v>43</v>
      </c>
      <c r="G655" s="352"/>
      <c r="H655" s="353"/>
      <c r="I655" s="353"/>
      <c r="J655" s="353"/>
      <c r="K655" s="353"/>
      <c r="L655" s="353"/>
      <c r="M655" s="353">
        <f>F655</f>
        <v>43</v>
      </c>
      <c r="N655" s="405"/>
      <c r="O655" s="352"/>
    </row>
    <row r="656" spans="1:15">
      <c r="A656" s="368"/>
      <c r="B656" s="368"/>
      <c r="C656" s="369"/>
      <c r="D656" s="356"/>
      <c r="E656" s="362"/>
      <c r="F656" s="364"/>
      <c r="G656" s="359"/>
      <c r="H656" s="360"/>
      <c r="I656" s="360"/>
      <c r="J656" s="360"/>
      <c r="K656" s="360"/>
      <c r="L656" s="360"/>
      <c r="M656" s="360"/>
      <c r="N656" s="406"/>
      <c r="O656" s="359"/>
    </row>
    <row r="657" spans="1:15" customFormat="1" ht="31.5">
      <c r="A657" s="339" t="s">
        <v>1889</v>
      </c>
      <c r="B657" s="339" t="s">
        <v>3</v>
      </c>
      <c r="C657" s="340" t="s">
        <v>229</v>
      </c>
      <c r="D657" s="436" t="s">
        <v>230</v>
      </c>
      <c r="E657" s="437" t="s">
        <v>167</v>
      </c>
      <c r="F657" s="438"/>
      <c r="G657" s="344"/>
      <c r="H657" s="345"/>
      <c r="I657" s="345"/>
      <c r="J657" s="345"/>
      <c r="K657" s="345"/>
      <c r="L657" s="345"/>
      <c r="M657" s="346">
        <f>SUM(M658:M659)</f>
        <v>27</v>
      </c>
      <c r="N657" s="408"/>
      <c r="O657" s="409"/>
    </row>
    <row r="658" spans="1:15" customFormat="1">
      <c r="A658" s="347"/>
      <c r="B658" s="347"/>
      <c r="C658" s="348"/>
      <c r="D658" s="421" t="s">
        <v>1877</v>
      </c>
      <c r="E658" s="422"/>
      <c r="F658" s="423">
        <v>3</v>
      </c>
      <c r="G658" s="352"/>
      <c r="H658" s="353"/>
      <c r="I658" s="353"/>
      <c r="J658" s="353"/>
      <c r="K658" s="353"/>
      <c r="L658" s="353"/>
      <c r="M658" s="353">
        <f>F658</f>
        <v>3</v>
      </c>
      <c r="N658" s="405"/>
      <c r="O658" s="352"/>
    </row>
    <row r="659" spans="1:15">
      <c r="A659" s="366"/>
      <c r="B659" s="366"/>
      <c r="C659" s="367"/>
      <c r="D659" s="421" t="s">
        <v>1869</v>
      </c>
      <c r="E659" s="361"/>
      <c r="F659" s="363">
        <v>24</v>
      </c>
      <c r="G659" s="352"/>
      <c r="H659" s="353"/>
      <c r="I659" s="353"/>
      <c r="J659" s="353"/>
      <c r="K659" s="353"/>
      <c r="L659" s="353"/>
      <c r="M659" s="353">
        <f>F659</f>
        <v>24</v>
      </c>
      <c r="N659" s="405"/>
      <c r="O659" s="352"/>
    </row>
    <row r="660" spans="1:15">
      <c r="A660" s="368"/>
      <c r="B660" s="368"/>
      <c r="C660" s="369"/>
      <c r="D660" s="356"/>
      <c r="E660" s="362"/>
      <c r="F660" s="364"/>
      <c r="G660" s="359"/>
      <c r="H660" s="360"/>
      <c r="I660" s="360"/>
      <c r="J660" s="360"/>
      <c r="K660" s="360"/>
      <c r="L660" s="360"/>
      <c r="M660" s="360"/>
      <c r="N660" s="406"/>
      <c r="O660" s="359"/>
    </row>
    <row r="661" spans="1:15" customFormat="1" ht="31.5">
      <c r="A661" s="339" t="s">
        <v>1890</v>
      </c>
      <c r="B661" s="339" t="s">
        <v>3</v>
      </c>
      <c r="C661" s="340" t="s">
        <v>232</v>
      </c>
      <c r="D661" s="436" t="s">
        <v>233</v>
      </c>
      <c r="E661" s="437" t="s">
        <v>167</v>
      </c>
      <c r="F661" s="438"/>
      <c r="G661" s="344"/>
      <c r="H661" s="345"/>
      <c r="I661" s="345"/>
      <c r="J661" s="345"/>
      <c r="K661" s="345"/>
      <c r="L661" s="345"/>
      <c r="M661" s="346">
        <f>SUM(M662:M663)</f>
        <v>133</v>
      </c>
      <c r="N661" s="408"/>
      <c r="O661" s="409"/>
    </row>
    <row r="662" spans="1:15" customFormat="1">
      <c r="A662" s="347"/>
      <c r="B662" s="347"/>
      <c r="C662" s="348"/>
      <c r="D662" s="421" t="s">
        <v>1877</v>
      </c>
      <c r="E662" s="422"/>
      <c r="F662" s="423">
        <v>99</v>
      </c>
      <c r="G662" s="352"/>
      <c r="H662" s="353"/>
      <c r="I662" s="353"/>
      <c r="J662" s="353"/>
      <c r="K662" s="353"/>
      <c r="L662" s="353"/>
      <c r="M662" s="353">
        <f>F662</f>
        <v>99</v>
      </c>
      <c r="N662" s="405"/>
      <c r="O662" s="352"/>
    </row>
    <row r="663" spans="1:15">
      <c r="A663" s="366"/>
      <c r="B663" s="366"/>
      <c r="C663" s="367"/>
      <c r="D663" s="421" t="s">
        <v>1869</v>
      </c>
      <c r="E663" s="361"/>
      <c r="F663" s="363">
        <v>34</v>
      </c>
      <c r="G663" s="352"/>
      <c r="H663" s="353"/>
      <c r="I663" s="353"/>
      <c r="J663" s="353"/>
      <c r="K663" s="353"/>
      <c r="L663" s="353"/>
      <c r="M663" s="353">
        <f>F663</f>
        <v>34</v>
      </c>
      <c r="N663" s="405"/>
      <c r="O663" s="352"/>
    </row>
    <row r="664" spans="1:15">
      <c r="A664" s="368"/>
      <c r="B664" s="368"/>
      <c r="C664" s="369"/>
      <c r="D664" s="356"/>
      <c r="E664" s="362"/>
      <c r="F664" s="364"/>
      <c r="G664" s="359"/>
      <c r="H664" s="360"/>
      <c r="I664" s="360"/>
      <c r="J664" s="360"/>
      <c r="K664" s="360"/>
      <c r="L664" s="360"/>
      <c r="M664" s="360"/>
      <c r="N664" s="406"/>
      <c r="O664" s="359"/>
    </row>
    <row r="665" spans="1:15" customFormat="1" ht="31.5">
      <c r="A665" s="339" t="s">
        <v>1891</v>
      </c>
      <c r="B665" s="339" t="s">
        <v>3</v>
      </c>
      <c r="C665" s="340" t="s">
        <v>924</v>
      </c>
      <c r="D665" s="436" t="s">
        <v>925</v>
      </c>
      <c r="E665" s="437" t="s">
        <v>167</v>
      </c>
      <c r="F665" s="438"/>
      <c r="G665" s="344"/>
      <c r="H665" s="345"/>
      <c r="I665" s="345"/>
      <c r="J665" s="345"/>
      <c r="K665" s="345"/>
      <c r="L665" s="345"/>
      <c r="M665" s="346">
        <f>SUM(M666:M667)</f>
        <v>8</v>
      </c>
      <c r="N665" s="408"/>
      <c r="O665" s="409"/>
    </row>
    <row r="666" spans="1:15" customFormat="1">
      <c r="A666" s="347"/>
      <c r="B666" s="347"/>
      <c r="C666" s="348"/>
      <c r="D666" s="421" t="s">
        <v>1877</v>
      </c>
      <c r="E666" s="422"/>
      <c r="F666" s="423">
        <v>7</v>
      </c>
      <c r="G666" s="352"/>
      <c r="H666" s="353"/>
      <c r="I666" s="353"/>
      <c r="J666" s="353"/>
      <c r="K666" s="353"/>
      <c r="L666" s="353"/>
      <c r="M666" s="353">
        <f>F666</f>
        <v>7</v>
      </c>
      <c r="N666" s="405"/>
      <c r="O666" s="352"/>
    </row>
    <row r="667" spans="1:15">
      <c r="A667" s="366"/>
      <c r="B667" s="366"/>
      <c r="C667" s="367"/>
      <c r="D667" s="421" t="s">
        <v>1869</v>
      </c>
      <c r="E667" s="361"/>
      <c r="F667" s="363">
        <v>1</v>
      </c>
      <c r="G667" s="352"/>
      <c r="H667" s="353"/>
      <c r="I667" s="353"/>
      <c r="J667" s="353"/>
      <c r="K667" s="353"/>
      <c r="L667" s="353"/>
      <c r="M667" s="353">
        <f>F667</f>
        <v>1</v>
      </c>
      <c r="N667" s="405"/>
      <c r="O667" s="352"/>
    </row>
    <row r="668" spans="1:15">
      <c r="A668" s="368"/>
      <c r="B668" s="368"/>
      <c r="C668" s="369"/>
      <c r="D668" s="356"/>
      <c r="E668" s="362"/>
      <c r="F668" s="364"/>
      <c r="G668" s="359"/>
      <c r="H668" s="360"/>
      <c r="I668" s="360"/>
      <c r="J668" s="360"/>
      <c r="K668" s="360"/>
      <c r="L668" s="360"/>
      <c r="M668" s="360"/>
      <c r="N668" s="406"/>
      <c r="O668" s="359"/>
    </row>
    <row r="669" spans="1:15" customFormat="1">
      <c r="A669" s="339" t="s">
        <v>1892</v>
      </c>
      <c r="B669" s="339" t="s">
        <v>160</v>
      </c>
      <c r="C669" s="340" t="s">
        <v>1243</v>
      </c>
      <c r="D669" s="436" t="s">
        <v>1244</v>
      </c>
      <c r="E669" s="437" t="s">
        <v>167</v>
      </c>
      <c r="F669" s="438"/>
      <c r="G669" s="344"/>
      <c r="H669" s="345"/>
      <c r="I669" s="345"/>
      <c r="J669" s="345"/>
      <c r="K669" s="345"/>
      <c r="L669" s="345"/>
      <c r="M669" s="346">
        <f>SUM(M670:M671)</f>
        <v>464</v>
      </c>
      <c r="N669" s="408"/>
      <c r="O669" s="409"/>
    </row>
    <row r="670" spans="1:15" customFormat="1">
      <c r="A670" s="347"/>
      <c r="B670" s="347"/>
      <c r="C670" s="348"/>
      <c r="D670" s="421" t="s">
        <v>1877</v>
      </c>
      <c r="E670" s="422"/>
      <c r="F670" s="423">
        <v>116</v>
      </c>
      <c r="G670" s="352"/>
      <c r="H670" s="353"/>
      <c r="I670" s="353"/>
      <c r="J670" s="353"/>
      <c r="K670" s="353"/>
      <c r="L670" s="353"/>
      <c r="M670" s="353">
        <f>F670</f>
        <v>116</v>
      </c>
      <c r="N670" s="405"/>
      <c r="O670" s="352"/>
    </row>
    <row r="671" spans="1:15">
      <c r="A671" s="366"/>
      <c r="B671" s="366"/>
      <c r="C671" s="367"/>
      <c r="D671" s="421" t="s">
        <v>1869</v>
      </c>
      <c r="E671" s="361"/>
      <c r="F671" s="363">
        <v>348</v>
      </c>
      <c r="G671" s="352"/>
      <c r="H671" s="353"/>
      <c r="I671" s="353"/>
      <c r="J671" s="353"/>
      <c r="K671" s="353"/>
      <c r="L671" s="353"/>
      <c r="M671" s="353">
        <f>F671</f>
        <v>348</v>
      </c>
      <c r="N671" s="405"/>
      <c r="O671" s="352"/>
    </row>
    <row r="672" spans="1:15">
      <c r="A672" s="368"/>
      <c r="B672" s="368"/>
      <c r="C672" s="369"/>
      <c r="D672" s="356"/>
      <c r="E672" s="362"/>
      <c r="F672" s="364"/>
      <c r="G672" s="359"/>
      <c r="H672" s="360"/>
      <c r="I672" s="360"/>
      <c r="J672" s="360"/>
      <c r="K672" s="360"/>
      <c r="L672" s="360"/>
      <c r="M672" s="360"/>
      <c r="N672" s="406"/>
      <c r="O672" s="359"/>
    </row>
    <row r="673" spans="1:15" customFormat="1">
      <c r="A673" s="339" t="s">
        <v>1893</v>
      </c>
      <c r="B673" s="339" t="s">
        <v>3</v>
      </c>
      <c r="C673" s="340" t="s">
        <v>930</v>
      </c>
      <c r="D673" s="436" t="s">
        <v>931</v>
      </c>
      <c r="E673" s="437" t="s">
        <v>167</v>
      </c>
      <c r="F673" s="438"/>
      <c r="G673" s="344"/>
      <c r="H673" s="345"/>
      <c r="I673" s="345"/>
      <c r="J673" s="345"/>
      <c r="K673" s="345"/>
      <c r="L673" s="345"/>
      <c r="M673" s="346">
        <f>SUM(M674:M675)</f>
        <v>612</v>
      </c>
      <c r="N673" s="408"/>
      <c r="O673" s="409"/>
    </row>
    <row r="674" spans="1:15" customFormat="1">
      <c r="A674" s="347"/>
      <c r="B674" s="347"/>
      <c r="C674" s="348"/>
      <c r="D674" s="421" t="s">
        <v>1877</v>
      </c>
      <c r="E674" s="422"/>
      <c r="F674" s="423">
        <v>224</v>
      </c>
      <c r="G674" s="352"/>
      <c r="H674" s="353"/>
      <c r="I674" s="353"/>
      <c r="J674" s="353"/>
      <c r="K674" s="353"/>
      <c r="L674" s="353"/>
      <c r="M674" s="353">
        <f>F674</f>
        <v>224</v>
      </c>
      <c r="N674" s="405"/>
      <c r="O674" s="352"/>
    </row>
    <row r="675" spans="1:15">
      <c r="A675" s="366"/>
      <c r="B675" s="366"/>
      <c r="C675" s="367"/>
      <c r="D675" s="421" t="s">
        <v>1869</v>
      </c>
      <c r="E675" s="361"/>
      <c r="F675" s="363">
        <v>388</v>
      </c>
      <c r="G675" s="352"/>
      <c r="H675" s="353"/>
      <c r="I675" s="353"/>
      <c r="J675" s="353"/>
      <c r="K675" s="353"/>
      <c r="L675" s="353"/>
      <c r="M675" s="353">
        <f>F675</f>
        <v>388</v>
      </c>
      <c r="N675" s="405"/>
      <c r="O675" s="352"/>
    </row>
    <row r="676" spans="1:15">
      <c r="A676" s="368"/>
      <c r="B676" s="368"/>
      <c r="C676" s="369"/>
      <c r="D676" s="356"/>
      <c r="E676" s="362"/>
      <c r="F676" s="364"/>
      <c r="G676" s="359"/>
      <c r="H676" s="360"/>
      <c r="I676" s="360"/>
      <c r="J676" s="360"/>
      <c r="K676" s="360"/>
      <c r="L676" s="360"/>
      <c r="M676" s="360"/>
      <c r="N676" s="406"/>
      <c r="O676" s="359"/>
    </row>
    <row r="677" spans="1:15">
      <c r="A677" s="319"/>
      <c r="B677" s="320"/>
      <c r="C677" s="321"/>
      <c r="D677" s="322"/>
      <c r="E677" s="320"/>
      <c r="F677" s="323"/>
      <c r="G677" s="324"/>
      <c r="H677" s="324"/>
      <c r="I677" s="324"/>
      <c r="J677" s="324"/>
      <c r="K677" s="324"/>
      <c r="L677" s="324"/>
      <c r="M677" s="324"/>
      <c r="N677" s="325"/>
      <c r="O677" s="326"/>
    </row>
    <row r="678" spans="1:15">
      <c r="A678" s="301">
        <v>6</v>
      </c>
      <c r="B678" s="302"/>
      <c r="C678" s="303"/>
      <c r="D678" s="304" t="s">
        <v>48</v>
      </c>
      <c r="E678" s="305"/>
      <c r="F678" s="306"/>
      <c r="G678" s="307"/>
      <c r="H678" s="307"/>
      <c r="I678" s="307"/>
      <c r="J678" s="307"/>
      <c r="K678" s="307"/>
      <c r="L678" s="307"/>
      <c r="M678" s="308"/>
      <c r="N678" s="402"/>
      <c r="O678" s="308"/>
    </row>
    <row r="679" spans="1:15">
      <c r="A679" s="311" t="s">
        <v>1894</v>
      </c>
      <c r="B679" s="312"/>
      <c r="C679" s="313"/>
      <c r="D679" s="314" t="s">
        <v>50</v>
      </c>
      <c r="E679" s="327"/>
      <c r="F679" s="328"/>
      <c r="G679" s="329"/>
      <c r="H679" s="329"/>
      <c r="I679" s="329"/>
      <c r="J679" s="329"/>
      <c r="K679" s="329"/>
      <c r="L679" s="329"/>
      <c r="M679" s="330"/>
      <c r="N679" s="407"/>
      <c r="O679" s="330"/>
    </row>
    <row r="680" spans="1:15">
      <c r="A680" s="339" t="s">
        <v>1895</v>
      </c>
      <c r="B680" s="339" t="s">
        <v>160</v>
      </c>
      <c r="C680" s="340" t="s">
        <v>239</v>
      </c>
      <c r="D680" s="341" t="s">
        <v>1686</v>
      </c>
      <c r="E680" s="370" t="s">
        <v>167</v>
      </c>
      <c r="F680" s="365"/>
      <c r="G680" s="344"/>
      <c r="H680" s="345"/>
      <c r="I680" s="345"/>
      <c r="J680" s="345"/>
      <c r="K680" s="345"/>
      <c r="L680" s="345"/>
      <c r="M680" s="346">
        <f>SUM(M681:M682)</f>
        <v>1</v>
      </c>
      <c r="N680" s="404"/>
      <c r="O680" s="409"/>
    </row>
    <row r="681" spans="1:15">
      <c r="A681" s="366"/>
      <c r="B681" s="366"/>
      <c r="C681" s="367"/>
      <c r="D681" s="421" t="s">
        <v>1896</v>
      </c>
      <c r="E681" s="361"/>
      <c r="F681" s="363">
        <v>1</v>
      </c>
      <c r="G681" s="352"/>
      <c r="H681" s="353"/>
      <c r="I681" s="353"/>
      <c r="J681" s="353"/>
      <c r="K681" s="353"/>
      <c r="L681" s="353"/>
      <c r="M681" s="353">
        <f>F681</f>
        <v>1</v>
      </c>
      <c r="N681" s="405"/>
      <c r="O681" s="352"/>
    </row>
    <row r="682" spans="1:15">
      <c r="A682" s="368"/>
      <c r="B682" s="368"/>
      <c r="C682" s="369"/>
      <c r="D682" s="356"/>
      <c r="E682" s="362"/>
      <c r="F682" s="364"/>
      <c r="G682" s="359"/>
      <c r="H682" s="360"/>
      <c r="I682" s="360"/>
      <c r="J682" s="360"/>
      <c r="K682" s="360"/>
      <c r="L682" s="360"/>
      <c r="M682" s="360"/>
      <c r="N682" s="406"/>
      <c r="O682" s="359"/>
    </row>
    <row r="683" spans="1:15">
      <c r="A683" s="339" t="s">
        <v>1897</v>
      </c>
      <c r="B683" s="339" t="s">
        <v>160</v>
      </c>
      <c r="C683" s="340" t="s">
        <v>745</v>
      </c>
      <c r="D683" s="341" t="s">
        <v>1689</v>
      </c>
      <c r="E683" s="370" t="s">
        <v>167</v>
      </c>
      <c r="F683" s="365"/>
      <c r="G683" s="344"/>
      <c r="H683" s="345"/>
      <c r="I683" s="345"/>
      <c r="J683" s="345"/>
      <c r="K683" s="345"/>
      <c r="L683" s="345"/>
      <c r="M683" s="346">
        <f>SUM(M684:M685)</f>
        <v>1</v>
      </c>
      <c r="N683" s="404"/>
      <c r="O683" s="409"/>
    </row>
    <row r="684" spans="1:15">
      <c r="A684" s="366"/>
      <c r="B684" s="366"/>
      <c r="C684" s="367"/>
      <c r="D684" s="421" t="s">
        <v>1896</v>
      </c>
      <c r="E684" s="361"/>
      <c r="F684" s="363">
        <v>1</v>
      </c>
      <c r="G684" s="352"/>
      <c r="H684" s="353"/>
      <c r="I684" s="353"/>
      <c r="J684" s="353"/>
      <c r="K684" s="353"/>
      <c r="L684" s="353"/>
      <c r="M684" s="353">
        <f>F684</f>
        <v>1</v>
      </c>
      <c r="N684" s="405"/>
      <c r="O684" s="352"/>
    </row>
    <row r="685" spans="1:15">
      <c r="A685" s="368"/>
      <c r="B685" s="368"/>
      <c r="C685" s="369"/>
      <c r="D685" s="356"/>
      <c r="E685" s="362"/>
      <c r="F685" s="364"/>
      <c r="G685" s="359"/>
      <c r="H685" s="360"/>
      <c r="I685" s="360"/>
      <c r="J685" s="360"/>
      <c r="K685" s="360"/>
      <c r="L685" s="360"/>
      <c r="M685" s="360"/>
      <c r="N685" s="406"/>
      <c r="O685" s="359"/>
    </row>
    <row r="686" spans="1:15">
      <c r="A686" s="311" t="s">
        <v>1898</v>
      </c>
      <c r="B686" s="312"/>
      <c r="C686" s="313"/>
      <c r="D686" s="314" t="s">
        <v>82</v>
      </c>
      <c r="E686" s="327"/>
      <c r="F686" s="328"/>
      <c r="G686" s="329"/>
      <c r="H686" s="329"/>
      <c r="I686" s="329"/>
      <c r="J686" s="329"/>
      <c r="K686" s="329"/>
      <c r="L686" s="329"/>
      <c r="M686" s="330"/>
      <c r="N686" s="407"/>
      <c r="O686" s="330"/>
    </row>
    <row r="687" spans="1:15">
      <c r="A687" s="339" t="s">
        <v>1899</v>
      </c>
      <c r="B687" s="339" t="s">
        <v>160</v>
      </c>
      <c r="C687" s="340" t="s">
        <v>748</v>
      </c>
      <c r="D687" s="341" t="s">
        <v>1692</v>
      </c>
      <c r="E687" s="370" t="s">
        <v>150</v>
      </c>
      <c r="F687" s="343"/>
      <c r="G687" s="344"/>
      <c r="H687" s="345"/>
      <c r="I687" s="345"/>
      <c r="J687" s="345"/>
      <c r="K687" s="345"/>
      <c r="L687" s="345"/>
      <c r="M687" s="346">
        <f>SUM(M688:M689)</f>
        <v>1155</v>
      </c>
      <c r="N687" s="408"/>
      <c r="O687" s="409"/>
    </row>
    <row r="688" spans="1:15">
      <c r="A688" s="366"/>
      <c r="B688" s="366"/>
      <c r="C688" s="367"/>
      <c r="D688" s="349"/>
      <c r="E688" s="361"/>
      <c r="F688" s="363"/>
      <c r="G688" s="352"/>
      <c r="H688" s="353">
        <v>1155</v>
      </c>
      <c r="I688" s="353"/>
      <c r="J688" s="353"/>
      <c r="K688" s="353"/>
      <c r="L688" s="353"/>
      <c r="M688" s="353">
        <f>H688</f>
        <v>1155</v>
      </c>
      <c r="N688" s="405"/>
      <c r="O688" s="352"/>
    </row>
    <row r="689" spans="1:15">
      <c r="A689" s="371"/>
      <c r="B689" s="371"/>
      <c r="C689" s="372"/>
      <c r="D689" s="356"/>
      <c r="E689" s="362"/>
      <c r="F689" s="358"/>
      <c r="G689" s="359"/>
      <c r="H689" s="360"/>
      <c r="I689" s="360"/>
      <c r="J689" s="360"/>
      <c r="K689" s="360"/>
      <c r="L689" s="360"/>
      <c r="M689" s="360"/>
      <c r="N689" s="406"/>
      <c r="O689" s="359"/>
    </row>
    <row r="691" spans="1:15" ht="24" hidden="1" customHeight="1" thickBot="1">
      <c r="B691" s="400">
        <f>COUNTA(B17:B689)</f>
        <v>190</v>
      </c>
      <c r="C691" s="400">
        <f>COUNTA(C17:C689)</f>
        <v>190</v>
      </c>
      <c r="E691" s="400">
        <v>190</v>
      </c>
    </row>
  </sheetData>
  <mergeCells count="28">
    <mergeCell ref="A16:O16"/>
    <mergeCell ref="A11:B11"/>
    <mergeCell ref="C11:F11"/>
    <mergeCell ref="G11:I11"/>
    <mergeCell ref="J11:O11"/>
    <mergeCell ref="A12:B12"/>
    <mergeCell ref="C12:F12"/>
    <mergeCell ref="G12:I12"/>
    <mergeCell ref="J12:O12"/>
    <mergeCell ref="A13:B13"/>
    <mergeCell ref="C13:F13"/>
    <mergeCell ref="G13:I13"/>
    <mergeCell ref="J13:O13"/>
    <mergeCell ref="N15:O15"/>
    <mergeCell ref="A5:B5"/>
    <mergeCell ref="C5:H5"/>
    <mergeCell ref="A7:O7"/>
    <mergeCell ref="A9:O9"/>
    <mergeCell ref="A10:B10"/>
    <mergeCell ref="C10:F10"/>
    <mergeCell ref="G10:I10"/>
    <mergeCell ref="J10:O10"/>
    <mergeCell ref="A2:B2"/>
    <mergeCell ref="C2:H2"/>
    <mergeCell ref="A3:B3"/>
    <mergeCell ref="C3:H3"/>
    <mergeCell ref="A4:B4"/>
    <mergeCell ref="C4:H4"/>
  </mergeCells>
  <phoneticPr fontId="19" type="noConversion"/>
  <printOptions horizontalCentered="1"/>
  <pageMargins left="0.31496062992125984" right="0.31496062992125984" top="0.78740157480314965" bottom="0.78740157480314965" header="0.31496062992125984" footer="0.31496062992125984"/>
  <pageSetup paperSize="9" scale="38" fitToHeight="0" orientation="landscape" r:id="rId1"/>
  <headerFooter>
    <oddFooter>&amp;R&amp;P/&amp;N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5625"/>
  <sheetViews>
    <sheetView showGridLines="0" zoomScale="70" zoomScaleNormal="70" zoomScaleSheetLayoutView="100" workbookViewId="0">
      <selection activeCell="A490" sqref="A489:XFD490"/>
    </sheetView>
  </sheetViews>
  <sheetFormatPr defaultColWidth="9.140625" defaultRowHeight="12.75"/>
  <cols>
    <col min="1" max="1" width="15.85546875" style="80" customWidth="1"/>
    <col min="2" max="2" width="14.85546875" style="80" customWidth="1"/>
    <col min="3" max="3" width="52.7109375" style="164" customWidth="1"/>
    <col min="4" max="4" width="12.85546875" style="80" customWidth="1"/>
    <col min="5" max="5" width="12.85546875" style="104" customWidth="1"/>
    <col min="6" max="6" width="14.85546875" style="105" customWidth="1"/>
    <col min="7" max="7" width="16.7109375" style="105" customWidth="1"/>
    <col min="8" max="8" width="4" style="80" hidden="1" customWidth="1"/>
    <col min="9" max="9" width="9.7109375" style="482" hidden="1" customWidth="1"/>
    <col min="10" max="10" width="14.28515625" style="106" bestFit="1" customWidth="1"/>
    <col min="11" max="11" width="11.7109375" style="106" bestFit="1" customWidth="1"/>
    <col min="12" max="16384" width="9.140625" style="80"/>
  </cols>
  <sheetData>
    <row r="1" spans="1:11" customFormat="1" ht="4.5" customHeight="1">
      <c r="B1" s="50"/>
      <c r="C1" s="159"/>
      <c r="D1" s="153"/>
      <c r="E1" s="153"/>
      <c r="F1" s="182"/>
      <c r="G1" s="154"/>
      <c r="I1" s="479"/>
      <c r="J1" s="271"/>
      <c r="K1" s="271"/>
    </row>
    <row r="2" spans="1:11" customFormat="1" ht="29.25" customHeight="1">
      <c r="A2" s="133" t="s">
        <v>0</v>
      </c>
      <c r="B2" s="770" t="s">
        <v>1</v>
      </c>
      <c r="C2" s="772"/>
      <c r="D2" s="275"/>
      <c r="E2" s="148"/>
      <c r="F2" s="183"/>
      <c r="G2" s="149"/>
      <c r="I2" s="479"/>
      <c r="J2" s="271"/>
      <c r="K2" s="271"/>
    </row>
    <row r="3" spans="1:11" customFormat="1" ht="29.25" customHeight="1">
      <c r="A3" s="133" t="s">
        <v>5</v>
      </c>
      <c r="B3" s="770" t="s">
        <v>6</v>
      </c>
      <c r="C3" s="772"/>
      <c r="D3" s="169"/>
      <c r="E3" s="2"/>
      <c r="F3" s="290"/>
      <c r="G3" s="287"/>
      <c r="I3" s="479"/>
      <c r="J3" s="271"/>
      <c r="K3" s="271"/>
    </row>
    <row r="4" spans="1:11" customFormat="1" ht="29.25" customHeight="1">
      <c r="A4" s="133" t="s">
        <v>9</v>
      </c>
      <c r="B4" s="770" t="s">
        <v>10</v>
      </c>
      <c r="C4" s="772"/>
      <c r="D4" s="169"/>
      <c r="E4" s="3"/>
      <c r="F4" s="291"/>
      <c r="G4" s="24"/>
      <c r="I4" s="479"/>
      <c r="J4" s="271"/>
      <c r="K4" s="271"/>
    </row>
    <row r="5" spans="1:11" customFormat="1" ht="29.25" customHeight="1">
      <c r="A5" s="133" t="s">
        <v>14</v>
      </c>
      <c r="B5" s="773" t="s">
        <v>15</v>
      </c>
      <c r="C5" s="775"/>
      <c r="D5" s="215"/>
      <c r="E5" s="252"/>
      <c r="F5" s="184"/>
      <c r="G5" s="27"/>
      <c r="I5" s="479"/>
      <c r="J5" s="271"/>
      <c r="K5" s="271"/>
    </row>
    <row r="6" spans="1:11" customFormat="1" ht="4.5" customHeight="1">
      <c r="A6" s="49"/>
      <c r="B6" s="50"/>
      <c r="C6" s="159"/>
      <c r="D6" s="50"/>
      <c r="E6" s="50"/>
      <c r="F6" s="185"/>
      <c r="G6" s="51"/>
      <c r="I6" s="479"/>
      <c r="J6" s="271"/>
      <c r="K6" s="271"/>
    </row>
    <row r="7" spans="1:11" customFormat="1" ht="21.75" customHeight="1">
      <c r="A7" s="845" t="s">
        <v>1900</v>
      </c>
      <c r="B7" s="846"/>
      <c r="C7" s="846"/>
      <c r="D7" s="846"/>
      <c r="E7" s="846"/>
      <c r="F7" s="846"/>
      <c r="G7" s="847"/>
      <c r="I7" s="479"/>
      <c r="J7" s="271"/>
      <c r="K7" s="271"/>
    </row>
    <row r="8" spans="1:11" customFormat="1" ht="22.5" customHeight="1">
      <c r="A8" s="848"/>
      <c r="B8" s="849"/>
      <c r="C8" s="849"/>
      <c r="D8" s="849"/>
      <c r="E8" s="849"/>
      <c r="F8" s="849"/>
      <c r="G8" s="850"/>
      <c r="I8" s="479"/>
      <c r="J8" s="271"/>
      <c r="K8" s="271"/>
    </row>
    <row r="9" spans="1:11" customFormat="1" ht="4.5" customHeight="1">
      <c r="A9" s="49"/>
      <c r="B9" s="50"/>
      <c r="C9" s="159"/>
      <c r="D9" s="50"/>
      <c r="E9" s="50"/>
      <c r="F9" s="185"/>
      <c r="G9" s="51"/>
      <c r="I9" s="479"/>
      <c r="J9" s="271"/>
      <c r="K9" s="271"/>
    </row>
    <row r="10" spans="1:11" customFormat="1" ht="19.5" customHeight="1">
      <c r="A10" s="844" t="s">
        <v>17</v>
      </c>
      <c r="B10" s="844"/>
      <c r="C10" s="844"/>
      <c r="D10" s="844"/>
      <c r="E10" s="844"/>
      <c r="F10" s="844"/>
      <c r="G10" s="844"/>
      <c r="I10" s="479"/>
      <c r="J10" s="271"/>
      <c r="K10" s="271"/>
    </row>
    <row r="11" spans="1:11" customFormat="1" ht="19.5" customHeight="1">
      <c r="A11" s="134" t="s">
        <v>18</v>
      </c>
      <c r="B11" s="715" t="s">
        <v>19</v>
      </c>
      <c r="C11" s="717"/>
      <c r="D11" s="715" t="s">
        <v>20</v>
      </c>
      <c r="E11" s="717"/>
      <c r="F11" s="715" t="s">
        <v>21</v>
      </c>
      <c r="G11" s="717"/>
      <c r="I11" s="479"/>
      <c r="J11" s="271"/>
      <c r="K11" s="271"/>
    </row>
    <row r="12" spans="1:11" customFormat="1" ht="19.5" customHeight="1">
      <c r="A12" s="28" t="str">
        <f>'Planilha Resumo'!A11</f>
        <v>R1</v>
      </c>
      <c r="B12" s="712" t="s">
        <v>23</v>
      </c>
      <c r="C12" s="713"/>
      <c r="D12" s="710">
        <v>45427</v>
      </c>
      <c r="E12" s="711"/>
      <c r="F12" s="712" t="s">
        <v>24</v>
      </c>
      <c r="G12" s="714"/>
      <c r="I12" s="479"/>
      <c r="J12" s="271"/>
      <c r="K12" s="271"/>
    </row>
    <row r="13" spans="1:11" customFormat="1" ht="19.5" customHeight="1">
      <c r="A13" s="28" t="str">
        <f>'Planilha Resumo'!A12</f>
        <v>R8</v>
      </c>
      <c r="B13" s="712" t="str">
        <f>'Planilha Resumo'!B12</f>
        <v>Atendendo à Comentários</v>
      </c>
      <c r="C13" s="713"/>
      <c r="D13" s="710">
        <f>'Planilha Resumo'!C12</f>
        <v>45496</v>
      </c>
      <c r="E13" s="711"/>
      <c r="F13" s="712" t="str">
        <f>'Planilha Resumo'!E12</f>
        <v>Grazielle Cruz/ Marcelo F. Pereira</v>
      </c>
      <c r="G13" s="714"/>
      <c r="I13" s="479"/>
      <c r="J13" s="271"/>
      <c r="K13" s="271"/>
    </row>
    <row r="14" spans="1:11" customFormat="1" ht="19.5" customHeight="1">
      <c r="A14" s="28" t="str">
        <f>'Planilha Resumo'!A14</f>
        <v>R12</v>
      </c>
      <c r="B14" s="851" t="str">
        <f>'Planilha Resumo'!B14</f>
        <v>Correção de itens com BDI diferenciado</v>
      </c>
      <c r="C14" s="852"/>
      <c r="D14" s="853">
        <f>'Planilha Resumo'!C14</f>
        <v>45569</v>
      </c>
      <c r="E14" s="854"/>
      <c r="F14" s="851" t="str">
        <f>'Planilha Resumo'!E14</f>
        <v>Tainá Verona</v>
      </c>
      <c r="G14" s="852"/>
      <c r="I14" s="479"/>
      <c r="J14" s="271"/>
      <c r="K14" s="271"/>
    </row>
    <row r="15" spans="1:11" customFormat="1" ht="4.5" customHeight="1">
      <c r="A15" s="49"/>
      <c r="B15" s="50"/>
      <c r="C15" s="159"/>
      <c r="D15" s="50"/>
      <c r="E15" s="50"/>
      <c r="F15" s="185"/>
      <c r="G15" s="51"/>
      <c r="I15" s="479"/>
      <c r="J15" s="271"/>
      <c r="K15" s="271"/>
    </row>
    <row r="16" spans="1:11" customFormat="1" ht="4.5" customHeight="1">
      <c r="A16" s="4"/>
      <c r="B16" s="4"/>
      <c r="C16" s="679"/>
      <c r="D16" s="4"/>
      <c r="E16" s="4"/>
      <c r="F16" s="680"/>
      <c r="G16" s="4"/>
      <c r="I16" s="479"/>
      <c r="J16" s="271"/>
      <c r="K16" s="271"/>
    </row>
    <row r="17" spans="1:11" customFormat="1" ht="4.5" customHeight="1">
      <c r="A17" s="863"/>
      <c r="B17" s="864"/>
      <c r="C17" s="864"/>
      <c r="D17" s="864"/>
      <c r="E17" s="864"/>
      <c r="F17" s="864"/>
      <c r="G17" s="865"/>
      <c r="I17" s="479"/>
      <c r="J17" s="271"/>
      <c r="K17" s="271"/>
    </row>
    <row r="18" spans="1:11" customFormat="1" ht="7.5" customHeight="1">
      <c r="A18" s="866"/>
      <c r="B18" s="867"/>
      <c r="C18" s="867"/>
      <c r="D18" s="867"/>
      <c r="E18" s="867"/>
      <c r="F18" s="867"/>
      <c r="G18" s="868"/>
      <c r="I18" s="16"/>
    </row>
    <row r="19" spans="1:11">
      <c r="A19" s="237" t="s">
        <v>131</v>
      </c>
      <c r="B19" s="190" t="s">
        <v>27</v>
      </c>
      <c r="C19" s="841" t="s">
        <v>1281</v>
      </c>
      <c r="D19" s="841"/>
      <c r="E19" s="841"/>
      <c r="F19" s="841"/>
      <c r="G19" s="81" t="s">
        <v>127</v>
      </c>
      <c r="I19" s="480" t="s">
        <v>1901</v>
      </c>
      <c r="J19" s="80"/>
      <c r="K19" s="80"/>
    </row>
    <row r="20" spans="1:11" ht="50.1" customHeight="1">
      <c r="A20" s="179" t="s">
        <v>161</v>
      </c>
      <c r="B20" s="82"/>
      <c r="C20" s="830" t="s">
        <v>1316</v>
      </c>
      <c r="D20" s="831"/>
      <c r="E20" s="831"/>
      <c r="F20" s="186">
        <f>G39</f>
        <v>43.035685000000001</v>
      </c>
      <c r="G20" s="83" t="s">
        <v>163</v>
      </c>
      <c r="I20" s="481"/>
      <c r="J20" s="272"/>
      <c r="K20" s="272"/>
    </row>
    <row r="21" spans="1:11">
      <c r="A21" s="818" t="s">
        <v>1902</v>
      </c>
      <c r="B21" s="819"/>
      <c r="C21" s="819"/>
      <c r="D21" s="819"/>
      <c r="E21" s="819"/>
      <c r="F21" s="819"/>
      <c r="G21" s="820"/>
    </row>
    <row r="22" spans="1:11">
      <c r="A22" s="84" t="s">
        <v>1903</v>
      </c>
      <c r="B22" s="84" t="s">
        <v>131</v>
      </c>
      <c r="C22" s="160" t="s">
        <v>1904</v>
      </c>
      <c r="D22" s="84" t="s">
        <v>167</v>
      </c>
      <c r="E22" s="85" t="s">
        <v>1905</v>
      </c>
      <c r="F22" s="86" t="s">
        <v>1906</v>
      </c>
      <c r="G22" s="86" t="s">
        <v>1907</v>
      </c>
    </row>
    <row r="23" spans="1:11">
      <c r="A23" s="87"/>
      <c r="B23" s="87"/>
      <c r="C23" s="278" t="s">
        <v>34</v>
      </c>
      <c r="D23" s="89" t="s">
        <v>34</v>
      </c>
      <c r="E23" s="88"/>
      <c r="F23" s="89" t="s">
        <v>34</v>
      </c>
      <c r="G23" s="89" t="s">
        <v>34</v>
      </c>
    </row>
    <row r="24" spans="1:11">
      <c r="A24" s="87"/>
      <c r="B24" s="87"/>
      <c r="C24" s="278" t="s">
        <v>34</v>
      </c>
      <c r="D24" s="89" t="s">
        <v>34</v>
      </c>
      <c r="E24" s="88"/>
      <c r="F24" s="89" t="s">
        <v>34</v>
      </c>
      <c r="G24" s="89" t="s">
        <v>34</v>
      </c>
    </row>
    <row r="25" spans="1:11">
      <c r="A25" s="832" t="s">
        <v>1908</v>
      </c>
      <c r="B25" s="833"/>
      <c r="C25" s="833"/>
      <c r="D25" s="833"/>
      <c r="E25" s="833"/>
      <c r="F25" s="834"/>
      <c r="G25" s="90" t="s">
        <v>34</v>
      </c>
    </row>
    <row r="26" spans="1:11">
      <c r="A26" s="91"/>
      <c r="B26" s="92"/>
      <c r="C26" s="161"/>
      <c r="D26" s="93"/>
      <c r="E26" s="94"/>
      <c r="F26" s="95"/>
      <c r="G26" s="96"/>
    </row>
    <row r="27" spans="1:11">
      <c r="A27" s="835" t="s">
        <v>1909</v>
      </c>
      <c r="B27" s="836"/>
      <c r="C27" s="836"/>
      <c r="D27" s="836"/>
      <c r="E27" s="836"/>
      <c r="F27" s="836"/>
      <c r="G27" s="837"/>
    </row>
    <row r="28" spans="1:11">
      <c r="A28" s="84" t="s">
        <v>1903</v>
      </c>
      <c r="B28" s="84" t="s">
        <v>131</v>
      </c>
      <c r="C28" s="160" t="s">
        <v>1904</v>
      </c>
      <c r="D28" s="84" t="s">
        <v>167</v>
      </c>
      <c r="E28" s="85" t="s">
        <v>1905</v>
      </c>
      <c r="F28" s="86" t="s">
        <v>1906</v>
      </c>
      <c r="G28" s="86" t="s">
        <v>1907</v>
      </c>
    </row>
    <row r="29" spans="1:11">
      <c r="A29" s="87" t="s">
        <v>2</v>
      </c>
      <c r="B29" s="87">
        <v>88264</v>
      </c>
      <c r="C29" s="278" t="s">
        <v>1910</v>
      </c>
      <c r="D29" s="89" t="s">
        <v>137</v>
      </c>
      <c r="E29" s="88">
        <v>0.18629999999999999</v>
      </c>
      <c r="F29" s="89">
        <v>27.47</v>
      </c>
      <c r="G29" s="89">
        <v>5.117661</v>
      </c>
    </row>
    <row r="30" spans="1:11" ht="24">
      <c r="A30" s="87" t="s">
        <v>2</v>
      </c>
      <c r="B30" s="87">
        <v>88247</v>
      </c>
      <c r="C30" s="278" t="s">
        <v>1911</v>
      </c>
      <c r="D30" s="89" t="s">
        <v>137</v>
      </c>
      <c r="E30" s="88">
        <v>0.18629999999999999</v>
      </c>
      <c r="F30" s="89">
        <v>22.48</v>
      </c>
      <c r="G30" s="89">
        <v>4.1880239999999995</v>
      </c>
    </row>
    <row r="31" spans="1:11">
      <c r="A31" s="832" t="s">
        <v>1908</v>
      </c>
      <c r="B31" s="833"/>
      <c r="C31" s="833"/>
      <c r="D31" s="833"/>
      <c r="E31" s="833"/>
      <c r="F31" s="834"/>
      <c r="G31" s="90">
        <f>SUM(G29:G30)</f>
        <v>9.3056850000000004</v>
      </c>
    </row>
    <row r="32" spans="1:11">
      <c r="A32" s="91"/>
      <c r="B32" s="92"/>
      <c r="C32" s="162"/>
      <c r="D32" s="92"/>
      <c r="E32" s="97"/>
      <c r="F32" s="98"/>
      <c r="G32" s="96"/>
    </row>
    <row r="33" spans="1:11">
      <c r="A33" s="835" t="s">
        <v>1912</v>
      </c>
      <c r="B33" s="836"/>
      <c r="C33" s="836"/>
      <c r="D33" s="836"/>
      <c r="E33" s="836"/>
      <c r="F33" s="836"/>
      <c r="G33" s="837"/>
    </row>
    <row r="34" spans="1:11">
      <c r="A34" s="84" t="s">
        <v>1903</v>
      </c>
      <c r="B34" s="84" t="s">
        <v>131</v>
      </c>
      <c r="C34" s="160" t="s">
        <v>1904</v>
      </c>
      <c r="D34" s="84" t="s">
        <v>167</v>
      </c>
      <c r="E34" s="85" t="s">
        <v>1905</v>
      </c>
      <c r="F34" s="86" t="s">
        <v>1906</v>
      </c>
      <c r="G34" s="86" t="s">
        <v>1907</v>
      </c>
    </row>
    <row r="35" spans="1:11">
      <c r="A35" s="87" t="s">
        <v>4</v>
      </c>
      <c r="B35" s="87" t="s">
        <v>1913</v>
      </c>
      <c r="C35" s="278" t="s">
        <v>1914</v>
      </c>
      <c r="D35" s="89" t="s">
        <v>167</v>
      </c>
      <c r="E35" s="88">
        <v>1</v>
      </c>
      <c r="F35" s="89">
        <v>27.67</v>
      </c>
      <c r="G35" s="89">
        <f>F35*E35</f>
        <v>27.67</v>
      </c>
    </row>
    <row r="36" spans="1:11" ht="36">
      <c r="A36" s="87" t="s">
        <v>4</v>
      </c>
      <c r="B36" s="87" t="s">
        <v>1915</v>
      </c>
      <c r="C36" s="278" t="s">
        <v>1916</v>
      </c>
      <c r="D36" s="89" t="s">
        <v>167</v>
      </c>
      <c r="E36" s="88">
        <v>1</v>
      </c>
      <c r="F36" s="89">
        <v>6.06</v>
      </c>
      <c r="G36" s="89">
        <f>F36*E36</f>
        <v>6.06</v>
      </c>
    </row>
    <row r="37" spans="1:11">
      <c r="A37" s="832" t="s">
        <v>1908</v>
      </c>
      <c r="B37" s="833" t="s">
        <v>1908</v>
      </c>
      <c r="C37" s="833"/>
      <c r="D37" s="833"/>
      <c r="E37" s="833"/>
      <c r="F37" s="834"/>
      <c r="G37" s="90">
        <f>SUM(G35:G36)</f>
        <v>33.730000000000004</v>
      </c>
    </row>
    <row r="38" spans="1:11" ht="13.5" thickBot="1">
      <c r="A38" s="91"/>
      <c r="B38" s="92"/>
      <c r="C38" s="163"/>
      <c r="D38" s="99"/>
      <c r="E38" s="100"/>
      <c r="F38" s="101"/>
      <c r="G38" s="102"/>
    </row>
    <row r="39" spans="1:11" ht="13.5" thickBot="1">
      <c r="A39" s="838" t="s">
        <v>1259</v>
      </c>
      <c r="B39" s="839"/>
      <c r="C39" s="839"/>
      <c r="D39" s="839"/>
      <c r="E39" s="839"/>
      <c r="F39" s="840"/>
      <c r="G39" s="103">
        <f>G31+G37</f>
        <v>43.035685000000001</v>
      </c>
    </row>
    <row r="40" spans="1:11" customFormat="1" ht="15">
      <c r="I40" s="16"/>
    </row>
    <row r="41" spans="1:11" customFormat="1" ht="15">
      <c r="I41" s="16"/>
    </row>
    <row r="42" spans="1:11">
      <c r="A42" s="237" t="s">
        <v>131</v>
      </c>
      <c r="B42" s="190" t="s">
        <v>27</v>
      </c>
      <c r="C42" s="841" t="s">
        <v>1281</v>
      </c>
      <c r="D42" s="841"/>
      <c r="E42" s="841"/>
      <c r="F42" s="841"/>
      <c r="G42" s="81" t="s">
        <v>127</v>
      </c>
      <c r="I42" s="480" t="s">
        <v>1901</v>
      </c>
      <c r="J42" s="80"/>
      <c r="K42" s="80"/>
    </row>
    <row r="43" spans="1:11" ht="50.1" customHeight="1">
      <c r="A43" s="179" t="s">
        <v>169</v>
      </c>
      <c r="B43" s="82"/>
      <c r="C43" s="830" t="s">
        <v>170</v>
      </c>
      <c r="D43" s="831"/>
      <c r="E43" s="831"/>
      <c r="F43" s="186">
        <f>G62</f>
        <v>471.665685</v>
      </c>
      <c r="G43" s="83" t="s">
        <v>167</v>
      </c>
      <c r="I43" s="481"/>
      <c r="J43" s="272"/>
      <c r="K43" s="272"/>
    </row>
    <row r="44" spans="1:11">
      <c r="A44" s="818" t="s">
        <v>1902</v>
      </c>
      <c r="B44" s="819"/>
      <c r="C44" s="819"/>
      <c r="D44" s="819"/>
      <c r="E44" s="819"/>
      <c r="F44" s="819"/>
      <c r="G44" s="820"/>
    </row>
    <row r="45" spans="1:11">
      <c r="A45" s="84" t="s">
        <v>1903</v>
      </c>
      <c r="B45" s="84" t="s">
        <v>131</v>
      </c>
      <c r="C45" s="160" t="s">
        <v>1904</v>
      </c>
      <c r="D45" s="84" t="s">
        <v>167</v>
      </c>
      <c r="E45" s="85" t="s">
        <v>1905</v>
      </c>
      <c r="F45" s="86" t="s">
        <v>1906</v>
      </c>
      <c r="G45" s="86" t="s">
        <v>1907</v>
      </c>
    </row>
    <row r="46" spans="1:11">
      <c r="A46" s="87" t="s">
        <v>1917</v>
      </c>
      <c r="B46" s="87" t="s">
        <v>1918</v>
      </c>
      <c r="C46" s="278" t="s">
        <v>170</v>
      </c>
      <c r="D46" s="89" t="s">
        <v>167</v>
      </c>
      <c r="E46" s="88">
        <v>1</v>
      </c>
      <c r="F46" s="89">
        <f>'Mapa Cotações'!M17</f>
        <v>462.36</v>
      </c>
      <c r="G46" s="89">
        <f>F46*E46</f>
        <v>462.36</v>
      </c>
    </row>
    <row r="47" spans="1:11">
      <c r="A47" s="87"/>
      <c r="B47" s="87"/>
      <c r="C47" s="278" t="s">
        <v>34</v>
      </c>
      <c r="D47" s="89" t="s">
        <v>34</v>
      </c>
      <c r="E47" s="88"/>
      <c r="F47" s="89" t="s">
        <v>34</v>
      </c>
      <c r="G47" s="89" t="s">
        <v>34</v>
      </c>
    </row>
    <row r="48" spans="1:11">
      <c r="A48" s="832" t="s">
        <v>1908</v>
      </c>
      <c r="B48" s="833"/>
      <c r="C48" s="833"/>
      <c r="D48" s="833"/>
      <c r="E48" s="833"/>
      <c r="F48" s="834"/>
      <c r="G48" s="90">
        <f>SUM(G46:G47)</f>
        <v>462.36</v>
      </c>
    </row>
    <row r="49" spans="1:7">
      <c r="A49" s="91"/>
      <c r="B49" s="92"/>
      <c r="C49" s="161"/>
      <c r="D49" s="93"/>
      <c r="E49" s="94"/>
      <c r="F49" s="95"/>
      <c r="G49" s="96"/>
    </row>
    <row r="50" spans="1:7">
      <c r="A50" s="835" t="s">
        <v>1909</v>
      </c>
      <c r="B50" s="836"/>
      <c r="C50" s="836"/>
      <c r="D50" s="836"/>
      <c r="E50" s="836"/>
      <c r="F50" s="836"/>
      <c r="G50" s="837"/>
    </row>
    <row r="51" spans="1:7">
      <c r="A51" s="84" t="s">
        <v>1903</v>
      </c>
      <c r="B51" s="84" t="s">
        <v>131</v>
      </c>
      <c r="C51" s="160" t="s">
        <v>1904</v>
      </c>
      <c r="D51" s="84" t="s">
        <v>167</v>
      </c>
      <c r="E51" s="85" t="s">
        <v>1905</v>
      </c>
      <c r="F51" s="86" t="s">
        <v>1906</v>
      </c>
      <c r="G51" s="86" t="s">
        <v>1907</v>
      </c>
    </row>
    <row r="52" spans="1:7">
      <c r="A52" s="87" t="s">
        <v>2</v>
      </c>
      <c r="B52" s="87">
        <v>88264</v>
      </c>
      <c r="C52" s="278" t="s">
        <v>1910</v>
      </c>
      <c r="D52" s="89" t="s">
        <v>137</v>
      </c>
      <c r="E52" s="88">
        <v>0.18629999999999999</v>
      </c>
      <c r="F52" s="89">
        <v>27.47</v>
      </c>
      <c r="G52" s="89">
        <v>5.117661</v>
      </c>
    </row>
    <row r="53" spans="1:7" ht="24">
      <c r="A53" s="87" t="s">
        <v>2</v>
      </c>
      <c r="B53" s="87">
        <v>88247</v>
      </c>
      <c r="C53" s="278" t="s">
        <v>1911</v>
      </c>
      <c r="D53" s="89" t="s">
        <v>137</v>
      </c>
      <c r="E53" s="88">
        <v>0.18629999999999999</v>
      </c>
      <c r="F53" s="89">
        <v>22.48</v>
      </c>
      <c r="G53" s="89">
        <v>4.1880239999999995</v>
      </c>
    </row>
    <row r="54" spans="1:7">
      <c r="A54" s="832" t="s">
        <v>1908</v>
      </c>
      <c r="B54" s="833"/>
      <c r="C54" s="833"/>
      <c r="D54" s="833"/>
      <c r="E54" s="833"/>
      <c r="F54" s="834"/>
      <c r="G54" s="90">
        <v>9.3056850000000004</v>
      </c>
    </row>
    <row r="55" spans="1:7">
      <c r="A55" s="91"/>
      <c r="B55" s="92"/>
      <c r="C55" s="162"/>
      <c r="D55" s="92"/>
      <c r="E55" s="97"/>
      <c r="F55" s="98"/>
      <c r="G55" s="96"/>
    </row>
    <row r="56" spans="1:7">
      <c r="A56" s="835" t="s">
        <v>1912</v>
      </c>
      <c r="B56" s="836"/>
      <c r="C56" s="836"/>
      <c r="D56" s="836"/>
      <c r="E56" s="836"/>
      <c r="F56" s="836"/>
      <c r="G56" s="837"/>
    </row>
    <row r="57" spans="1:7">
      <c r="A57" s="84" t="s">
        <v>1903</v>
      </c>
      <c r="B57" s="84" t="s">
        <v>131</v>
      </c>
      <c r="C57" s="160" t="s">
        <v>1904</v>
      </c>
      <c r="D57" s="84" t="s">
        <v>167</v>
      </c>
      <c r="E57" s="85" t="s">
        <v>1905</v>
      </c>
      <c r="F57" s="86" t="s">
        <v>1906</v>
      </c>
      <c r="G57" s="86" t="s">
        <v>1907</v>
      </c>
    </row>
    <row r="58" spans="1:7">
      <c r="A58" s="87"/>
      <c r="B58" s="87"/>
      <c r="C58" s="278" t="s">
        <v>34</v>
      </c>
      <c r="D58" s="89" t="s">
        <v>34</v>
      </c>
      <c r="E58" s="88"/>
      <c r="F58" s="89" t="s">
        <v>34</v>
      </c>
      <c r="G58" s="89" t="s">
        <v>34</v>
      </c>
    </row>
    <row r="59" spans="1:7">
      <c r="A59" s="87"/>
      <c r="B59" s="87"/>
      <c r="C59" s="278" t="s">
        <v>34</v>
      </c>
      <c r="D59" s="89" t="s">
        <v>34</v>
      </c>
      <c r="E59" s="88"/>
      <c r="F59" s="89" t="s">
        <v>34</v>
      </c>
      <c r="G59" s="89" t="s">
        <v>34</v>
      </c>
    </row>
    <row r="60" spans="1:7">
      <c r="A60" s="832" t="s">
        <v>1908</v>
      </c>
      <c r="B60" s="833" t="s">
        <v>1908</v>
      </c>
      <c r="C60" s="833"/>
      <c r="D60" s="833"/>
      <c r="E60" s="833"/>
      <c r="F60" s="834"/>
      <c r="G60" s="90" t="s">
        <v>34</v>
      </c>
    </row>
    <row r="61" spans="1:7" ht="13.5" thickBot="1">
      <c r="A61" s="91"/>
      <c r="B61" s="92"/>
      <c r="C61" s="163"/>
      <c r="D61" s="99"/>
      <c r="E61" s="100"/>
      <c r="F61" s="101"/>
      <c r="G61" s="102"/>
    </row>
    <row r="62" spans="1:7" ht="13.5" thickBot="1">
      <c r="A62" s="838" t="s">
        <v>1259</v>
      </c>
      <c r="B62" s="839"/>
      <c r="C62" s="839"/>
      <c r="D62" s="839"/>
      <c r="E62" s="839"/>
      <c r="F62" s="840"/>
      <c r="G62" s="103">
        <f>SUM(G60,G54,G48)</f>
        <v>471.665685</v>
      </c>
    </row>
    <row r="65" spans="1:11">
      <c r="A65" s="237" t="s">
        <v>131</v>
      </c>
      <c r="B65" s="190" t="s">
        <v>27</v>
      </c>
      <c r="C65" s="841" t="s">
        <v>1281</v>
      </c>
      <c r="D65" s="841"/>
      <c r="E65" s="841"/>
      <c r="F65" s="841"/>
      <c r="G65" s="81" t="s">
        <v>127</v>
      </c>
      <c r="I65" s="480" t="s">
        <v>1901</v>
      </c>
      <c r="J65" s="80"/>
      <c r="K65" s="80"/>
    </row>
    <row r="66" spans="1:11" ht="50.1" customHeight="1">
      <c r="A66" s="179" t="s">
        <v>172</v>
      </c>
      <c r="B66" s="82"/>
      <c r="C66" s="830" t="s">
        <v>173</v>
      </c>
      <c r="D66" s="831"/>
      <c r="E66" s="831"/>
      <c r="F66" s="186">
        <f>G85</f>
        <v>101.305685</v>
      </c>
      <c r="G66" s="83" t="s">
        <v>167</v>
      </c>
      <c r="I66" s="481"/>
      <c r="J66" s="272"/>
      <c r="K66" s="272"/>
    </row>
    <row r="67" spans="1:11">
      <c r="A67" s="818" t="s">
        <v>1902</v>
      </c>
      <c r="B67" s="819"/>
      <c r="C67" s="819"/>
      <c r="D67" s="819"/>
      <c r="E67" s="819"/>
      <c r="F67" s="819"/>
      <c r="G67" s="820"/>
    </row>
    <row r="68" spans="1:11">
      <c r="A68" s="84" t="s">
        <v>1903</v>
      </c>
      <c r="B68" s="84" t="s">
        <v>131</v>
      </c>
      <c r="C68" s="160" t="s">
        <v>1904</v>
      </c>
      <c r="D68" s="84" t="s">
        <v>167</v>
      </c>
      <c r="E68" s="85" t="s">
        <v>1905</v>
      </c>
      <c r="F68" s="86" t="s">
        <v>1906</v>
      </c>
      <c r="G68" s="86" t="s">
        <v>1907</v>
      </c>
    </row>
    <row r="69" spans="1:11">
      <c r="A69" s="87"/>
      <c r="B69" s="87"/>
      <c r="C69" s="278" t="s">
        <v>34</v>
      </c>
      <c r="D69" s="89" t="s">
        <v>34</v>
      </c>
      <c r="E69" s="88"/>
      <c r="F69" s="89" t="s">
        <v>34</v>
      </c>
      <c r="G69" s="89" t="s">
        <v>34</v>
      </c>
    </row>
    <row r="70" spans="1:11">
      <c r="A70" s="87"/>
      <c r="B70" s="87"/>
      <c r="C70" s="278" t="s">
        <v>34</v>
      </c>
      <c r="D70" s="89" t="s">
        <v>34</v>
      </c>
      <c r="E70" s="88"/>
      <c r="F70" s="89" t="s">
        <v>34</v>
      </c>
      <c r="G70" s="89" t="s">
        <v>34</v>
      </c>
    </row>
    <row r="71" spans="1:11">
      <c r="A71" s="832" t="s">
        <v>1908</v>
      </c>
      <c r="B71" s="833"/>
      <c r="C71" s="833"/>
      <c r="D71" s="833"/>
      <c r="E71" s="833"/>
      <c r="F71" s="834"/>
      <c r="G71" s="90" t="s">
        <v>34</v>
      </c>
    </row>
    <row r="72" spans="1:11">
      <c r="A72" s="91"/>
      <c r="B72" s="92"/>
      <c r="C72" s="161"/>
      <c r="D72" s="93"/>
      <c r="E72" s="94"/>
      <c r="F72" s="95"/>
      <c r="G72" s="96"/>
    </row>
    <row r="73" spans="1:11">
      <c r="A73" s="835" t="s">
        <v>1909</v>
      </c>
      <c r="B73" s="836"/>
      <c r="C73" s="836"/>
      <c r="D73" s="836"/>
      <c r="E73" s="836"/>
      <c r="F73" s="836"/>
      <c r="G73" s="837"/>
    </row>
    <row r="74" spans="1:11">
      <c r="A74" s="84" t="s">
        <v>1903</v>
      </c>
      <c r="B74" s="84" t="s">
        <v>131</v>
      </c>
      <c r="C74" s="160" t="s">
        <v>1904</v>
      </c>
      <c r="D74" s="84" t="s">
        <v>167</v>
      </c>
      <c r="E74" s="85" t="s">
        <v>1905</v>
      </c>
      <c r="F74" s="86" t="s">
        <v>1906</v>
      </c>
      <c r="G74" s="86" t="s">
        <v>1907</v>
      </c>
    </row>
    <row r="75" spans="1:11">
      <c r="A75" s="87" t="s">
        <v>2</v>
      </c>
      <c r="B75" s="87">
        <v>88264</v>
      </c>
      <c r="C75" s="278" t="s">
        <v>1910</v>
      </c>
      <c r="D75" s="89" t="s">
        <v>137</v>
      </c>
      <c r="E75" s="88">
        <v>0.18629999999999999</v>
      </c>
      <c r="F75" s="89">
        <v>27.47</v>
      </c>
      <c r="G75" s="89">
        <f>F75*E75</f>
        <v>5.117661</v>
      </c>
    </row>
    <row r="76" spans="1:11" ht="24">
      <c r="A76" s="87" t="s">
        <v>2</v>
      </c>
      <c r="B76" s="87">
        <v>88247</v>
      </c>
      <c r="C76" s="278" t="s">
        <v>1911</v>
      </c>
      <c r="D76" s="89" t="s">
        <v>137</v>
      </c>
      <c r="E76" s="88">
        <v>0.18629999999999999</v>
      </c>
      <c r="F76" s="89">
        <v>22.48</v>
      </c>
      <c r="G76" s="89">
        <f>F76*E76</f>
        <v>4.1880239999999995</v>
      </c>
    </row>
    <row r="77" spans="1:11">
      <c r="A77" s="832" t="s">
        <v>1908</v>
      </c>
      <c r="B77" s="833"/>
      <c r="C77" s="833"/>
      <c r="D77" s="833"/>
      <c r="E77" s="833"/>
      <c r="F77" s="834"/>
      <c r="G77" s="90">
        <f>SUM(G75:G76)</f>
        <v>9.3056850000000004</v>
      </c>
    </row>
    <row r="78" spans="1:11">
      <c r="A78" s="91"/>
      <c r="B78" s="92"/>
      <c r="C78" s="162"/>
      <c r="D78" s="92"/>
      <c r="E78" s="97"/>
      <c r="F78" s="98"/>
      <c r="G78" s="96"/>
    </row>
    <row r="79" spans="1:11">
      <c r="A79" s="835" t="s">
        <v>1912</v>
      </c>
      <c r="B79" s="836"/>
      <c r="C79" s="836"/>
      <c r="D79" s="836"/>
      <c r="E79" s="836"/>
      <c r="F79" s="836"/>
      <c r="G79" s="837"/>
    </row>
    <row r="80" spans="1:11">
      <c r="A80" s="84" t="s">
        <v>1903</v>
      </c>
      <c r="B80" s="84" t="s">
        <v>131</v>
      </c>
      <c r="C80" s="160" t="s">
        <v>1904</v>
      </c>
      <c r="D80" s="84" t="s">
        <v>167</v>
      </c>
      <c r="E80" s="85" t="s">
        <v>1905</v>
      </c>
      <c r="F80" s="86" t="s">
        <v>1906</v>
      </c>
      <c r="G80" s="86" t="s">
        <v>1907</v>
      </c>
    </row>
    <row r="81" spans="1:11" ht="24">
      <c r="A81" s="87" t="s">
        <v>4</v>
      </c>
      <c r="B81" s="87" t="s">
        <v>1919</v>
      </c>
      <c r="C81" s="278" t="s">
        <v>1920</v>
      </c>
      <c r="D81" s="89" t="s">
        <v>167</v>
      </c>
      <c r="E81" s="88">
        <v>1</v>
      </c>
      <c r="F81" s="89">
        <v>92</v>
      </c>
      <c r="G81" s="89">
        <f>F81*E81</f>
        <v>92</v>
      </c>
    </row>
    <row r="82" spans="1:11">
      <c r="A82" s="87"/>
      <c r="B82" s="87"/>
      <c r="C82" s="278" t="s">
        <v>34</v>
      </c>
      <c r="D82" s="89" t="s">
        <v>34</v>
      </c>
      <c r="E82" s="88"/>
      <c r="F82" s="89" t="s">
        <v>34</v>
      </c>
      <c r="G82" s="89" t="s">
        <v>34</v>
      </c>
    </row>
    <row r="83" spans="1:11">
      <c r="A83" s="832" t="s">
        <v>1908</v>
      </c>
      <c r="B83" s="833" t="s">
        <v>1908</v>
      </c>
      <c r="C83" s="833"/>
      <c r="D83" s="833"/>
      <c r="E83" s="833"/>
      <c r="F83" s="834"/>
      <c r="G83" s="90">
        <f>SUM(G81:G82)</f>
        <v>92</v>
      </c>
    </row>
    <row r="84" spans="1:11" ht="13.5" thickBot="1">
      <c r="A84" s="91"/>
      <c r="B84" s="92"/>
      <c r="C84" s="163"/>
      <c r="D84" s="99"/>
      <c r="E84" s="100"/>
      <c r="F84" s="101"/>
      <c r="G84" s="102"/>
    </row>
    <row r="85" spans="1:11" ht="13.5" thickBot="1">
      <c r="A85" s="838" t="s">
        <v>1259</v>
      </c>
      <c r="B85" s="839"/>
      <c r="C85" s="839"/>
      <c r="D85" s="839"/>
      <c r="E85" s="839"/>
      <c r="F85" s="840"/>
      <c r="G85" s="103">
        <f>G83+G77</f>
        <v>101.305685</v>
      </c>
    </row>
    <row r="88" spans="1:11">
      <c r="A88" s="237" t="s">
        <v>131</v>
      </c>
      <c r="B88" s="190" t="s">
        <v>27</v>
      </c>
      <c r="C88" s="841" t="s">
        <v>1281</v>
      </c>
      <c r="D88" s="841"/>
      <c r="E88" s="841"/>
      <c r="F88" s="841"/>
      <c r="G88" s="81" t="s">
        <v>127</v>
      </c>
      <c r="I88" s="480" t="s">
        <v>1901</v>
      </c>
      <c r="J88" s="80"/>
      <c r="K88" s="80"/>
    </row>
    <row r="89" spans="1:11" ht="50.1" customHeight="1">
      <c r="A89" s="179" t="s">
        <v>236</v>
      </c>
      <c r="B89" s="82"/>
      <c r="C89" s="830" t="s">
        <v>237</v>
      </c>
      <c r="D89" s="831"/>
      <c r="E89" s="831"/>
      <c r="F89" s="186">
        <f>G108</f>
        <v>451.854990208</v>
      </c>
      <c r="G89" s="83" t="s">
        <v>167</v>
      </c>
      <c r="I89" s="481"/>
      <c r="J89" s="272"/>
      <c r="K89" s="272"/>
    </row>
    <row r="90" spans="1:11">
      <c r="A90" s="818" t="s">
        <v>1902</v>
      </c>
      <c r="B90" s="819"/>
      <c r="C90" s="819"/>
      <c r="D90" s="819"/>
      <c r="E90" s="819"/>
      <c r="F90" s="819"/>
      <c r="G90" s="820"/>
    </row>
    <row r="91" spans="1:11">
      <c r="A91" s="84" t="s">
        <v>1903</v>
      </c>
      <c r="B91" s="84" t="s">
        <v>131</v>
      </c>
      <c r="C91" s="160" t="s">
        <v>1904</v>
      </c>
      <c r="D91" s="84" t="s">
        <v>167</v>
      </c>
      <c r="E91" s="85" t="s">
        <v>1905</v>
      </c>
      <c r="F91" s="86" t="s">
        <v>1906</v>
      </c>
      <c r="G91" s="86" t="s">
        <v>1907</v>
      </c>
    </row>
    <row r="92" spans="1:11" ht="36">
      <c r="A92" s="87" t="s">
        <v>1917</v>
      </c>
      <c r="B92" s="87" t="s">
        <v>1921</v>
      </c>
      <c r="C92" s="278" t="s">
        <v>237</v>
      </c>
      <c r="D92" s="89" t="s">
        <v>167</v>
      </c>
      <c r="E92" s="88">
        <v>1</v>
      </c>
      <c r="F92" s="89">
        <f>'Mapa Cotações'!M18</f>
        <v>450</v>
      </c>
      <c r="G92" s="89">
        <f>F92*E92</f>
        <v>450</v>
      </c>
    </row>
    <row r="93" spans="1:11">
      <c r="A93" s="87"/>
      <c r="B93" s="87"/>
      <c r="C93" s="278" t="s">
        <v>34</v>
      </c>
      <c r="D93" s="89" t="s">
        <v>34</v>
      </c>
      <c r="E93" s="88"/>
      <c r="F93" s="89" t="s">
        <v>34</v>
      </c>
      <c r="G93" s="89" t="s">
        <v>34</v>
      </c>
    </row>
    <row r="94" spans="1:11">
      <c r="A94" s="832" t="s">
        <v>1908</v>
      </c>
      <c r="B94" s="833"/>
      <c r="C94" s="833"/>
      <c r="D94" s="833"/>
      <c r="E94" s="833"/>
      <c r="F94" s="834"/>
      <c r="G94" s="90">
        <f>SUM(G92:G93)</f>
        <v>450</v>
      </c>
    </row>
    <row r="95" spans="1:11">
      <c r="A95" s="91"/>
      <c r="B95" s="92"/>
      <c r="C95" s="161"/>
      <c r="D95" s="93"/>
      <c r="E95" s="94"/>
      <c r="F95" s="95"/>
      <c r="G95" s="96"/>
    </row>
    <row r="96" spans="1:11">
      <c r="A96" s="835" t="s">
        <v>1909</v>
      </c>
      <c r="B96" s="836"/>
      <c r="C96" s="836"/>
      <c r="D96" s="836"/>
      <c r="E96" s="836"/>
      <c r="F96" s="836"/>
      <c r="G96" s="837"/>
    </row>
    <row r="97" spans="1:11">
      <c r="A97" s="84" t="s">
        <v>1903</v>
      </c>
      <c r="B97" s="84" t="s">
        <v>131</v>
      </c>
      <c r="C97" s="160" t="s">
        <v>1904</v>
      </c>
      <c r="D97" s="84" t="s">
        <v>167</v>
      </c>
      <c r="E97" s="85" t="s">
        <v>1905</v>
      </c>
      <c r="F97" s="86" t="s">
        <v>1906</v>
      </c>
      <c r="G97" s="86" t="s">
        <v>1907</v>
      </c>
    </row>
    <row r="98" spans="1:11">
      <c r="A98" s="87" t="s">
        <v>2</v>
      </c>
      <c r="B98" s="87">
        <v>88264</v>
      </c>
      <c r="C98" s="278" t="s">
        <v>1910</v>
      </c>
      <c r="D98" s="89" t="s">
        <v>137</v>
      </c>
      <c r="E98" s="88">
        <v>6.1899999999999997E-2</v>
      </c>
      <c r="F98" s="89">
        <v>27.47</v>
      </c>
      <c r="G98" s="89">
        <f>F98*E98</f>
        <v>1.7003929999999998</v>
      </c>
    </row>
    <row r="99" spans="1:11" ht="24">
      <c r="A99" s="87" t="s">
        <v>2</v>
      </c>
      <c r="B99" s="87">
        <v>88247</v>
      </c>
      <c r="C99" s="278" t="s">
        <v>1911</v>
      </c>
      <c r="D99" s="89" t="s">
        <v>137</v>
      </c>
      <c r="E99" s="88">
        <v>6.8770999999999997E-3</v>
      </c>
      <c r="F99" s="89">
        <v>22.48</v>
      </c>
      <c r="G99" s="89">
        <f>F99*E99</f>
        <v>0.15459720799999999</v>
      </c>
    </row>
    <row r="100" spans="1:11">
      <c r="A100" s="832" t="s">
        <v>1908</v>
      </c>
      <c r="B100" s="833"/>
      <c r="C100" s="833"/>
      <c r="D100" s="833"/>
      <c r="E100" s="833"/>
      <c r="F100" s="834"/>
      <c r="G100" s="90">
        <f>SUM(G98:G99)</f>
        <v>1.8549902079999998</v>
      </c>
    </row>
    <row r="101" spans="1:11">
      <c r="A101" s="91"/>
      <c r="B101" s="92"/>
      <c r="C101" s="162"/>
      <c r="D101" s="92"/>
      <c r="E101" s="97"/>
      <c r="F101" s="98"/>
      <c r="G101" s="96"/>
    </row>
    <row r="102" spans="1:11">
      <c r="A102" s="835" t="s">
        <v>1912</v>
      </c>
      <c r="B102" s="836"/>
      <c r="C102" s="836"/>
      <c r="D102" s="836"/>
      <c r="E102" s="836"/>
      <c r="F102" s="836"/>
      <c r="G102" s="837"/>
    </row>
    <row r="103" spans="1:11">
      <c r="A103" s="84" t="s">
        <v>1903</v>
      </c>
      <c r="B103" s="84" t="s">
        <v>131</v>
      </c>
      <c r="C103" s="160" t="s">
        <v>1904</v>
      </c>
      <c r="D103" s="84" t="s">
        <v>167</v>
      </c>
      <c r="E103" s="85" t="s">
        <v>1905</v>
      </c>
      <c r="F103" s="86" t="s">
        <v>1906</v>
      </c>
      <c r="G103" s="86" t="s">
        <v>1907</v>
      </c>
    </row>
    <row r="104" spans="1:11">
      <c r="A104" s="87"/>
      <c r="B104" s="87"/>
      <c r="C104" s="278" t="s">
        <v>34</v>
      </c>
      <c r="D104" s="89" t="s">
        <v>34</v>
      </c>
      <c r="E104" s="88"/>
      <c r="F104" s="89" t="s">
        <v>34</v>
      </c>
      <c r="G104" s="89" t="s">
        <v>34</v>
      </c>
    </row>
    <row r="105" spans="1:11">
      <c r="A105" s="87"/>
      <c r="B105" s="87"/>
      <c r="C105" s="278" t="s">
        <v>34</v>
      </c>
      <c r="D105" s="89" t="s">
        <v>34</v>
      </c>
      <c r="E105" s="88"/>
      <c r="F105" s="89" t="s">
        <v>34</v>
      </c>
      <c r="G105" s="89" t="s">
        <v>34</v>
      </c>
    </row>
    <row r="106" spans="1:11">
      <c r="A106" s="832" t="s">
        <v>1908</v>
      </c>
      <c r="B106" s="833" t="s">
        <v>1908</v>
      </c>
      <c r="C106" s="833"/>
      <c r="D106" s="833"/>
      <c r="E106" s="833"/>
      <c r="F106" s="834"/>
      <c r="G106" s="90" t="s">
        <v>34</v>
      </c>
    </row>
    <row r="107" spans="1:11" ht="13.5" thickBot="1">
      <c r="A107" s="91"/>
      <c r="B107" s="92"/>
      <c r="C107" s="163"/>
      <c r="D107" s="99"/>
      <c r="E107" s="100"/>
      <c r="F107" s="101"/>
      <c r="G107" s="102"/>
    </row>
    <row r="108" spans="1:11" ht="13.5" thickBot="1">
      <c r="A108" s="838" t="s">
        <v>1259</v>
      </c>
      <c r="B108" s="839"/>
      <c r="C108" s="839"/>
      <c r="D108" s="839"/>
      <c r="E108" s="839"/>
      <c r="F108" s="840"/>
      <c r="G108" s="103">
        <f>SUM(G106,G100,G94)</f>
        <v>451.854990208</v>
      </c>
    </row>
    <row r="111" spans="1:11">
      <c r="A111" s="237" t="s">
        <v>131</v>
      </c>
      <c r="B111" s="190" t="s">
        <v>27</v>
      </c>
      <c r="C111" s="841" t="s">
        <v>1281</v>
      </c>
      <c r="D111" s="841"/>
      <c r="E111" s="841"/>
      <c r="F111" s="841"/>
      <c r="G111" s="81" t="s">
        <v>127</v>
      </c>
      <c r="I111" s="480" t="s">
        <v>1901</v>
      </c>
      <c r="J111" s="80"/>
      <c r="K111" s="80"/>
    </row>
    <row r="112" spans="1:11" ht="50.1" customHeight="1">
      <c r="A112" s="179" t="s">
        <v>242</v>
      </c>
      <c r="B112" s="82"/>
      <c r="C112" s="830" t="s">
        <v>243</v>
      </c>
      <c r="D112" s="831"/>
      <c r="E112" s="831"/>
      <c r="F112" s="186">
        <v>1108.741025</v>
      </c>
      <c r="G112" s="83" t="s">
        <v>167</v>
      </c>
      <c r="I112" s="481"/>
      <c r="J112" s="272"/>
      <c r="K112" s="272"/>
    </row>
    <row r="113" spans="1:7">
      <c r="A113" s="818" t="s">
        <v>1902</v>
      </c>
      <c r="B113" s="819"/>
      <c r="C113" s="819"/>
      <c r="D113" s="819"/>
      <c r="E113" s="819"/>
      <c r="F113" s="819"/>
      <c r="G113" s="820"/>
    </row>
    <row r="114" spans="1:7">
      <c r="A114" s="84" t="s">
        <v>1903</v>
      </c>
      <c r="B114" s="84" t="s">
        <v>131</v>
      </c>
      <c r="C114" s="160" t="s">
        <v>1904</v>
      </c>
      <c r="D114" s="84" t="s">
        <v>167</v>
      </c>
      <c r="E114" s="85" t="s">
        <v>1905</v>
      </c>
      <c r="F114" s="86" t="s">
        <v>1906</v>
      </c>
      <c r="G114" s="86" t="s">
        <v>1907</v>
      </c>
    </row>
    <row r="115" spans="1:7">
      <c r="A115" s="87"/>
      <c r="B115" s="87"/>
      <c r="C115" s="278" t="s">
        <v>34</v>
      </c>
      <c r="D115" s="89" t="s">
        <v>34</v>
      </c>
      <c r="E115" s="88"/>
      <c r="F115" s="89" t="s">
        <v>34</v>
      </c>
      <c r="G115" s="89" t="s">
        <v>34</v>
      </c>
    </row>
    <row r="116" spans="1:7">
      <c r="A116" s="87"/>
      <c r="B116" s="87"/>
      <c r="C116" s="278" t="s">
        <v>34</v>
      </c>
      <c r="D116" s="89" t="s">
        <v>34</v>
      </c>
      <c r="E116" s="88"/>
      <c r="F116" s="89" t="s">
        <v>34</v>
      </c>
      <c r="G116" s="89" t="s">
        <v>34</v>
      </c>
    </row>
    <row r="117" spans="1:7">
      <c r="A117" s="832" t="s">
        <v>1908</v>
      </c>
      <c r="B117" s="833"/>
      <c r="C117" s="833"/>
      <c r="D117" s="833"/>
      <c r="E117" s="833"/>
      <c r="F117" s="834"/>
      <c r="G117" s="90" t="s">
        <v>34</v>
      </c>
    </row>
    <row r="118" spans="1:7">
      <c r="A118" s="91"/>
      <c r="B118" s="92"/>
      <c r="C118" s="161"/>
      <c r="D118" s="93"/>
      <c r="E118" s="94"/>
      <c r="F118" s="95"/>
      <c r="G118" s="96"/>
    </row>
    <row r="119" spans="1:7">
      <c r="A119" s="835" t="s">
        <v>1909</v>
      </c>
      <c r="B119" s="836"/>
      <c r="C119" s="836"/>
      <c r="D119" s="836"/>
      <c r="E119" s="836"/>
      <c r="F119" s="836"/>
      <c r="G119" s="837"/>
    </row>
    <row r="120" spans="1:7">
      <c r="A120" s="84" t="s">
        <v>1903</v>
      </c>
      <c r="B120" s="84" t="s">
        <v>131</v>
      </c>
      <c r="C120" s="160" t="s">
        <v>1904</v>
      </c>
      <c r="D120" s="84" t="s">
        <v>167</v>
      </c>
      <c r="E120" s="85" t="s">
        <v>1905</v>
      </c>
      <c r="F120" s="86" t="s">
        <v>1906</v>
      </c>
      <c r="G120" s="86" t="s">
        <v>1907</v>
      </c>
    </row>
    <row r="121" spans="1:7">
      <c r="A121" s="87" t="s">
        <v>2</v>
      </c>
      <c r="B121" s="87">
        <v>88316</v>
      </c>
      <c r="C121" s="278" t="s">
        <v>1922</v>
      </c>
      <c r="D121" s="89" t="s">
        <v>137</v>
      </c>
      <c r="E121" s="88">
        <v>15.295</v>
      </c>
      <c r="F121" s="89">
        <v>19.940000000000001</v>
      </c>
      <c r="G121" s="89">
        <v>304.98230000000001</v>
      </c>
    </row>
    <row r="122" spans="1:7">
      <c r="A122" s="87"/>
      <c r="B122" s="87"/>
      <c r="C122" s="278" t="s">
        <v>34</v>
      </c>
      <c r="D122" s="89" t="s">
        <v>34</v>
      </c>
      <c r="E122" s="88"/>
      <c r="F122" s="89" t="s">
        <v>34</v>
      </c>
      <c r="G122" s="89" t="s">
        <v>34</v>
      </c>
    </row>
    <row r="123" spans="1:7">
      <c r="A123" s="832" t="s">
        <v>1908</v>
      </c>
      <c r="B123" s="833"/>
      <c r="C123" s="833"/>
      <c r="D123" s="833"/>
      <c r="E123" s="833"/>
      <c r="F123" s="834"/>
      <c r="G123" s="90">
        <v>304.98230000000001</v>
      </c>
    </row>
    <row r="124" spans="1:7">
      <c r="A124" s="91"/>
      <c r="B124" s="92"/>
      <c r="C124" s="162"/>
      <c r="D124" s="92"/>
      <c r="E124" s="97"/>
      <c r="F124" s="98"/>
      <c r="G124" s="96"/>
    </row>
    <row r="125" spans="1:7">
      <c r="A125" s="835" t="s">
        <v>1912</v>
      </c>
      <c r="B125" s="836"/>
      <c r="C125" s="836"/>
      <c r="D125" s="836"/>
      <c r="E125" s="836"/>
      <c r="F125" s="836"/>
      <c r="G125" s="837"/>
    </row>
    <row r="126" spans="1:7">
      <c r="A126" s="84" t="s">
        <v>1903</v>
      </c>
      <c r="B126" s="84" t="s">
        <v>131</v>
      </c>
      <c r="C126" s="160" t="s">
        <v>1904</v>
      </c>
      <c r="D126" s="84" t="s">
        <v>167</v>
      </c>
      <c r="E126" s="85" t="s">
        <v>1905</v>
      </c>
      <c r="F126" s="86" t="s">
        <v>1906</v>
      </c>
      <c r="G126" s="86" t="s">
        <v>1907</v>
      </c>
    </row>
    <row r="127" spans="1:7" ht="60">
      <c r="A127" s="87" t="s">
        <v>2</v>
      </c>
      <c r="B127" s="87">
        <v>5928</v>
      </c>
      <c r="C127" s="278" t="s">
        <v>1923</v>
      </c>
      <c r="D127" s="89" t="s">
        <v>1924</v>
      </c>
      <c r="E127" s="88">
        <v>2.6775000000000002</v>
      </c>
      <c r="F127" s="89">
        <v>269.05</v>
      </c>
      <c r="G127" s="89">
        <v>720.38137500000005</v>
      </c>
    </row>
    <row r="128" spans="1:7" ht="60">
      <c r="A128" s="87" t="s">
        <v>2</v>
      </c>
      <c r="B128" s="87">
        <v>5930</v>
      </c>
      <c r="C128" s="278" t="s">
        <v>1925</v>
      </c>
      <c r="D128" s="89" t="s">
        <v>1926</v>
      </c>
      <c r="E128" s="88">
        <v>1.1475000000000002</v>
      </c>
      <c r="F128" s="89">
        <v>72.66</v>
      </c>
      <c r="G128" s="89">
        <v>83.377350000000007</v>
      </c>
    </row>
    <row r="129" spans="1:11">
      <c r="A129" s="832" t="s">
        <v>1908</v>
      </c>
      <c r="B129" s="833" t="s">
        <v>1908</v>
      </c>
      <c r="C129" s="833"/>
      <c r="D129" s="833"/>
      <c r="E129" s="833"/>
      <c r="F129" s="834"/>
      <c r="G129" s="90">
        <v>803.75872500000003</v>
      </c>
    </row>
    <row r="130" spans="1:11" ht="13.5" thickBot="1">
      <c r="A130" s="91"/>
      <c r="B130" s="92"/>
      <c r="C130" s="163"/>
      <c r="D130" s="99"/>
      <c r="E130" s="100"/>
      <c r="F130" s="101"/>
      <c r="G130" s="102"/>
    </row>
    <row r="131" spans="1:11" ht="13.5" thickBot="1">
      <c r="A131" s="838" t="s">
        <v>1259</v>
      </c>
      <c r="B131" s="839"/>
      <c r="C131" s="839"/>
      <c r="D131" s="839"/>
      <c r="E131" s="839"/>
      <c r="F131" s="840"/>
      <c r="G131" s="103">
        <v>1108.741025</v>
      </c>
    </row>
    <row r="134" spans="1:11">
      <c r="A134" s="237" t="s">
        <v>131</v>
      </c>
      <c r="B134" s="190" t="s">
        <v>27</v>
      </c>
      <c r="C134" s="841" t="s">
        <v>1281</v>
      </c>
      <c r="D134" s="841"/>
      <c r="E134" s="841"/>
      <c r="F134" s="841"/>
      <c r="G134" s="81" t="s">
        <v>127</v>
      </c>
      <c r="I134" s="480" t="s">
        <v>1901</v>
      </c>
      <c r="J134" s="80"/>
      <c r="K134" s="80"/>
    </row>
    <row r="135" spans="1:11" ht="50.1" customHeight="1">
      <c r="A135" s="179" t="s">
        <v>245</v>
      </c>
      <c r="B135" s="82"/>
      <c r="C135" s="830" t="s">
        <v>246</v>
      </c>
      <c r="D135" s="831"/>
      <c r="E135" s="831"/>
      <c r="F135" s="186">
        <v>886.99282000000005</v>
      </c>
      <c r="G135" s="83" t="s">
        <v>167</v>
      </c>
      <c r="I135" s="481"/>
      <c r="J135" s="272"/>
      <c r="K135" s="272"/>
    </row>
    <row r="136" spans="1:11">
      <c r="A136" s="818" t="s">
        <v>1902</v>
      </c>
      <c r="B136" s="819"/>
      <c r="C136" s="819"/>
      <c r="D136" s="819"/>
      <c r="E136" s="819"/>
      <c r="F136" s="819"/>
      <c r="G136" s="820"/>
    </row>
    <row r="137" spans="1:11">
      <c r="A137" s="84" t="s">
        <v>1903</v>
      </c>
      <c r="B137" s="84" t="s">
        <v>131</v>
      </c>
      <c r="C137" s="160" t="s">
        <v>1904</v>
      </c>
      <c r="D137" s="84" t="s">
        <v>167</v>
      </c>
      <c r="E137" s="85" t="s">
        <v>1905</v>
      </c>
      <c r="F137" s="86" t="s">
        <v>1906</v>
      </c>
      <c r="G137" s="86" t="s">
        <v>1907</v>
      </c>
    </row>
    <row r="138" spans="1:11">
      <c r="A138" s="87"/>
      <c r="B138" s="87"/>
      <c r="C138" s="278" t="s">
        <v>34</v>
      </c>
      <c r="D138" s="89" t="s">
        <v>34</v>
      </c>
      <c r="E138" s="88"/>
      <c r="F138" s="89" t="s">
        <v>34</v>
      </c>
      <c r="G138" s="89" t="s">
        <v>34</v>
      </c>
    </row>
    <row r="139" spans="1:11">
      <c r="A139" s="87"/>
      <c r="B139" s="87"/>
      <c r="C139" s="278" t="s">
        <v>34</v>
      </c>
      <c r="D139" s="89" t="s">
        <v>34</v>
      </c>
      <c r="E139" s="88"/>
      <c r="F139" s="89" t="s">
        <v>34</v>
      </c>
      <c r="G139" s="89" t="s">
        <v>34</v>
      </c>
    </row>
    <row r="140" spans="1:11">
      <c r="A140" s="832" t="s">
        <v>1908</v>
      </c>
      <c r="B140" s="833"/>
      <c r="C140" s="833"/>
      <c r="D140" s="833"/>
      <c r="E140" s="833"/>
      <c r="F140" s="834"/>
      <c r="G140" s="90" t="s">
        <v>34</v>
      </c>
    </row>
    <row r="141" spans="1:11">
      <c r="A141" s="91"/>
      <c r="B141" s="92"/>
      <c r="C141" s="161"/>
      <c r="D141" s="93"/>
      <c r="E141" s="94"/>
      <c r="F141" s="95"/>
      <c r="G141" s="96"/>
    </row>
    <row r="142" spans="1:11">
      <c r="A142" s="835" t="s">
        <v>1909</v>
      </c>
      <c r="B142" s="836"/>
      <c r="C142" s="836"/>
      <c r="D142" s="836"/>
      <c r="E142" s="836"/>
      <c r="F142" s="836"/>
      <c r="G142" s="837"/>
    </row>
    <row r="143" spans="1:11">
      <c r="A143" s="84" t="s">
        <v>1903</v>
      </c>
      <c r="B143" s="84" t="s">
        <v>131</v>
      </c>
      <c r="C143" s="160" t="s">
        <v>1904</v>
      </c>
      <c r="D143" s="84" t="s">
        <v>167</v>
      </c>
      <c r="E143" s="85" t="s">
        <v>1905</v>
      </c>
      <c r="F143" s="86" t="s">
        <v>1906</v>
      </c>
      <c r="G143" s="86" t="s">
        <v>1907</v>
      </c>
    </row>
    <row r="144" spans="1:11">
      <c r="A144" s="87" t="s">
        <v>2</v>
      </c>
      <c r="B144" s="87">
        <v>88316</v>
      </c>
      <c r="C144" s="278" t="s">
        <v>1922</v>
      </c>
      <c r="D144" s="89" t="s">
        <v>137</v>
      </c>
      <c r="E144" s="88">
        <v>12.236000000000001</v>
      </c>
      <c r="F144" s="89">
        <v>19.940000000000001</v>
      </c>
      <c r="G144" s="89">
        <v>243.98584000000002</v>
      </c>
    </row>
    <row r="145" spans="1:11">
      <c r="A145" s="87"/>
      <c r="B145" s="87"/>
      <c r="C145" s="278" t="s">
        <v>34</v>
      </c>
      <c r="D145" s="89" t="s">
        <v>34</v>
      </c>
      <c r="E145" s="88"/>
      <c r="F145" s="89" t="s">
        <v>34</v>
      </c>
      <c r="G145" s="89" t="s">
        <v>34</v>
      </c>
    </row>
    <row r="146" spans="1:11">
      <c r="A146" s="832" t="s">
        <v>1908</v>
      </c>
      <c r="B146" s="833"/>
      <c r="C146" s="833"/>
      <c r="D146" s="833"/>
      <c r="E146" s="833"/>
      <c r="F146" s="834"/>
      <c r="G146" s="90">
        <v>243.98584000000002</v>
      </c>
    </row>
    <row r="147" spans="1:11">
      <c r="A147" s="91"/>
      <c r="B147" s="92"/>
      <c r="C147" s="162"/>
      <c r="D147" s="92"/>
      <c r="E147" s="97"/>
      <c r="F147" s="98"/>
      <c r="G147" s="96"/>
    </row>
    <row r="148" spans="1:11">
      <c r="A148" s="835" t="s">
        <v>1912</v>
      </c>
      <c r="B148" s="836"/>
      <c r="C148" s="836"/>
      <c r="D148" s="836"/>
      <c r="E148" s="836"/>
      <c r="F148" s="836"/>
      <c r="G148" s="837"/>
    </row>
    <row r="149" spans="1:11">
      <c r="A149" s="84" t="s">
        <v>1903</v>
      </c>
      <c r="B149" s="84" t="s">
        <v>131</v>
      </c>
      <c r="C149" s="160" t="s">
        <v>1904</v>
      </c>
      <c r="D149" s="84" t="s">
        <v>167</v>
      </c>
      <c r="E149" s="85" t="s">
        <v>1905</v>
      </c>
      <c r="F149" s="86" t="s">
        <v>1906</v>
      </c>
      <c r="G149" s="86" t="s">
        <v>1907</v>
      </c>
    </row>
    <row r="150" spans="1:11" ht="60">
      <c r="A150" s="87" t="s">
        <v>2</v>
      </c>
      <c r="B150" s="87">
        <v>5928</v>
      </c>
      <c r="C150" s="278" t="s">
        <v>1923</v>
      </c>
      <c r="D150" s="89" t="s">
        <v>1924</v>
      </c>
      <c r="E150" s="88">
        <v>2.1419999999999999</v>
      </c>
      <c r="F150" s="89">
        <v>269.05</v>
      </c>
      <c r="G150" s="89">
        <v>576.30510000000004</v>
      </c>
    </row>
    <row r="151" spans="1:11" ht="60">
      <c r="A151" s="87" t="s">
        <v>2</v>
      </c>
      <c r="B151" s="87">
        <v>5930</v>
      </c>
      <c r="C151" s="278" t="s">
        <v>1925</v>
      </c>
      <c r="D151" s="89" t="s">
        <v>1926</v>
      </c>
      <c r="E151" s="88">
        <v>0.91800000000000004</v>
      </c>
      <c r="F151" s="89">
        <v>72.66</v>
      </c>
      <c r="G151" s="89">
        <v>66.701880000000003</v>
      </c>
    </row>
    <row r="152" spans="1:11">
      <c r="A152" s="832" t="s">
        <v>1908</v>
      </c>
      <c r="B152" s="833" t="s">
        <v>1908</v>
      </c>
      <c r="C152" s="833"/>
      <c r="D152" s="833"/>
      <c r="E152" s="833"/>
      <c r="F152" s="834"/>
      <c r="G152" s="90">
        <v>643.00698</v>
      </c>
    </row>
    <row r="153" spans="1:11" ht="13.5" thickBot="1">
      <c r="A153" s="91"/>
      <c r="B153" s="92"/>
      <c r="C153" s="163"/>
      <c r="D153" s="99"/>
      <c r="E153" s="100"/>
      <c r="F153" s="101"/>
      <c r="G153" s="102"/>
    </row>
    <row r="154" spans="1:11" ht="13.5" thickBot="1">
      <c r="A154" s="838" t="s">
        <v>1259</v>
      </c>
      <c r="B154" s="839"/>
      <c r="C154" s="839"/>
      <c r="D154" s="839"/>
      <c r="E154" s="839"/>
      <c r="F154" s="840"/>
      <c r="G154" s="103">
        <v>886.99282000000005</v>
      </c>
    </row>
    <row r="157" spans="1:11">
      <c r="A157" s="237" t="s">
        <v>131</v>
      </c>
      <c r="B157" s="190" t="s">
        <v>27</v>
      </c>
      <c r="C157" s="841" t="s">
        <v>1281</v>
      </c>
      <c r="D157" s="841"/>
      <c r="E157" s="841"/>
      <c r="F157" s="841"/>
      <c r="G157" s="81" t="s">
        <v>127</v>
      </c>
      <c r="I157" s="480" t="s">
        <v>1901</v>
      </c>
      <c r="J157" s="80"/>
      <c r="K157" s="80"/>
    </row>
    <row r="158" spans="1:11" ht="50.1" customHeight="1">
      <c r="A158" s="179" t="s">
        <v>248</v>
      </c>
      <c r="B158" s="82"/>
      <c r="C158" s="830" t="s">
        <v>249</v>
      </c>
      <c r="D158" s="831"/>
      <c r="E158" s="831"/>
      <c r="F158" s="186">
        <v>798.29353800000001</v>
      </c>
      <c r="G158" s="83" t="s">
        <v>167</v>
      </c>
      <c r="I158" s="481"/>
      <c r="J158" s="272"/>
      <c r="K158" s="272"/>
    </row>
    <row r="159" spans="1:11">
      <c r="A159" s="818" t="s">
        <v>1902</v>
      </c>
      <c r="B159" s="819"/>
      <c r="C159" s="819"/>
      <c r="D159" s="819"/>
      <c r="E159" s="819"/>
      <c r="F159" s="819"/>
      <c r="G159" s="820"/>
    </row>
    <row r="160" spans="1:11">
      <c r="A160" s="84" t="s">
        <v>1903</v>
      </c>
      <c r="B160" s="84" t="s">
        <v>131</v>
      </c>
      <c r="C160" s="160" t="s">
        <v>1904</v>
      </c>
      <c r="D160" s="84" t="s">
        <v>167</v>
      </c>
      <c r="E160" s="85" t="s">
        <v>1905</v>
      </c>
      <c r="F160" s="86" t="s">
        <v>1906</v>
      </c>
      <c r="G160" s="86" t="s">
        <v>1907</v>
      </c>
    </row>
    <row r="161" spans="1:7">
      <c r="A161" s="87"/>
      <c r="B161" s="87"/>
      <c r="C161" s="278" t="s">
        <v>34</v>
      </c>
      <c r="D161" s="89" t="s">
        <v>34</v>
      </c>
      <c r="E161" s="88"/>
      <c r="F161" s="89" t="s">
        <v>34</v>
      </c>
      <c r="G161" s="89" t="s">
        <v>34</v>
      </c>
    </row>
    <row r="162" spans="1:7">
      <c r="A162" s="87"/>
      <c r="B162" s="87"/>
      <c r="C162" s="278" t="s">
        <v>34</v>
      </c>
      <c r="D162" s="89" t="s">
        <v>34</v>
      </c>
      <c r="E162" s="88"/>
      <c r="F162" s="89" t="s">
        <v>34</v>
      </c>
      <c r="G162" s="89" t="s">
        <v>34</v>
      </c>
    </row>
    <row r="163" spans="1:7">
      <c r="A163" s="832" t="s">
        <v>1908</v>
      </c>
      <c r="B163" s="833"/>
      <c r="C163" s="833"/>
      <c r="D163" s="833"/>
      <c r="E163" s="833"/>
      <c r="F163" s="834"/>
      <c r="G163" s="90" t="s">
        <v>34</v>
      </c>
    </row>
    <row r="164" spans="1:7">
      <c r="A164" s="91"/>
      <c r="B164" s="92"/>
      <c r="C164" s="161"/>
      <c r="D164" s="93"/>
      <c r="E164" s="94"/>
      <c r="F164" s="95"/>
      <c r="G164" s="96"/>
    </row>
    <row r="165" spans="1:7">
      <c r="A165" s="835" t="s">
        <v>1909</v>
      </c>
      <c r="B165" s="836"/>
      <c r="C165" s="836"/>
      <c r="D165" s="836"/>
      <c r="E165" s="836"/>
      <c r="F165" s="836"/>
      <c r="G165" s="837"/>
    </row>
    <row r="166" spans="1:7">
      <c r="A166" s="84" t="s">
        <v>1903</v>
      </c>
      <c r="B166" s="84" t="s">
        <v>131</v>
      </c>
      <c r="C166" s="160" t="s">
        <v>1904</v>
      </c>
      <c r="D166" s="84" t="s">
        <v>167</v>
      </c>
      <c r="E166" s="85" t="s">
        <v>1905</v>
      </c>
      <c r="F166" s="86" t="s">
        <v>1906</v>
      </c>
      <c r="G166" s="86" t="s">
        <v>1907</v>
      </c>
    </row>
    <row r="167" spans="1:7">
      <c r="A167" s="87" t="s">
        <v>2</v>
      </c>
      <c r="B167" s="87">
        <v>88316</v>
      </c>
      <c r="C167" s="278" t="s">
        <v>1922</v>
      </c>
      <c r="D167" s="89" t="s">
        <v>137</v>
      </c>
      <c r="E167" s="88">
        <v>11.0124</v>
      </c>
      <c r="F167" s="89">
        <v>19.940000000000001</v>
      </c>
      <c r="G167" s="89">
        <v>219.587256</v>
      </c>
    </row>
    <row r="168" spans="1:7">
      <c r="A168" s="87"/>
      <c r="B168" s="87"/>
      <c r="C168" s="278" t="s">
        <v>34</v>
      </c>
      <c r="D168" s="89" t="s">
        <v>34</v>
      </c>
      <c r="E168" s="88"/>
      <c r="F168" s="89" t="s">
        <v>34</v>
      </c>
      <c r="G168" s="89" t="s">
        <v>34</v>
      </c>
    </row>
    <row r="169" spans="1:7">
      <c r="A169" s="832" t="s">
        <v>1908</v>
      </c>
      <c r="B169" s="833"/>
      <c r="C169" s="833"/>
      <c r="D169" s="833"/>
      <c r="E169" s="833"/>
      <c r="F169" s="834"/>
      <c r="G169" s="90">
        <v>219.587256</v>
      </c>
    </row>
    <row r="170" spans="1:7">
      <c r="A170" s="91"/>
      <c r="B170" s="92"/>
      <c r="C170" s="162"/>
      <c r="D170" s="92"/>
      <c r="E170" s="97"/>
      <c r="F170" s="98"/>
      <c r="G170" s="96"/>
    </row>
    <row r="171" spans="1:7">
      <c r="A171" s="835" t="s">
        <v>1912</v>
      </c>
      <c r="B171" s="836"/>
      <c r="C171" s="836"/>
      <c r="D171" s="836"/>
      <c r="E171" s="836"/>
      <c r="F171" s="836"/>
      <c r="G171" s="837"/>
    </row>
    <row r="172" spans="1:7">
      <c r="A172" s="84" t="s">
        <v>1903</v>
      </c>
      <c r="B172" s="84" t="s">
        <v>131</v>
      </c>
      <c r="C172" s="160" t="s">
        <v>1904</v>
      </c>
      <c r="D172" s="84" t="s">
        <v>167</v>
      </c>
      <c r="E172" s="85" t="s">
        <v>1905</v>
      </c>
      <c r="F172" s="86" t="s">
        <v>1906</v>
      </c>
      <c r="G172" s="86" t="s">
        <v>1907</v>
      </c>
    </row>
    <row r="173" spans="1:7" ht="60">
      <c r="A173" s="87" t="s">
        <v>2</v>
      </c>
      <c r="B173" s="87">
        <v>5928</v>
      </c>
      <c r="C173" s="278" t="s">
        <v>1923</v>
      </c>
      <c r="D173" s="89" t="s">
        <v>1924</v>
      </c>
      <c r="E173" s="88">
        <v>1.9278</v>
      </c>
      <c r="F173" s="89">
        <v>269.05</v>
      </c>
      <c r="G173" s="89">
        <v>518.67458999999997</v>
      </c>
    </row>
    <row r="174" spans="1:7" ht="60">
      <c r="A174" s="87" t="s">
        <v>2</v>
      </c>
      <c r="B174" s="87">
        <v>5930</v>
      </c>
      <c r="C174" s="278" t="s">
        <v>1925</v>
      </c>
      <c r="D174" s="89" t="s">
        <v>1926</v>
      </c>
      <c r="E174" s="88">
        <v>0.82620000000000005</v>
      </c>
      <c r="F174" s="89">
        <v>72.66</v>
      </c>
      <c r="G174" s="89">
        <v>60.031692</v>
      </c>
    </row>
    <row r="175" spans="1:7">
      <c r="A175" s="832" t="s">
        <v>1908</v>
      </c>
      <c r="B175" s="833" t="s">
        <v>1908</v>
      </c>
      <c r="C175" s="833"/>
      <c r="D175" s="833"/>
      <c r="E175" s="833"/>
      <c r="F175" s="834"/>
      <c r="G175" s="90">
        <v>578.70628199999999</v>
      </c>
    </row>
    <row r="176" spans="1:7" ht="13.5" thickBot="1">
      <c r="A176" s="91"/>
      <c r="B176" s="92"/>
      <c r="C176" s="163"/>
      <c r="D176" s="99"/>
      <c r="E176" s="100"/>
      <c r="F176" s="101"/>
      <c r="G176" s="102"/>
    </row>
    <row r="177" spans="1:11" ht="13.5" thickBot="1">
      <c r="A177" s="838" t="s">
        <v>1259</v>
      </c>
      <c r="B177" s="839"/>
      <c r="C177" s="839"/>
      <c r="D177" s="839"/>
      <c r="E177" s="839"/>
      <c r="F177" s="840"/>
      <c r="G177" s="103">
        <v>798.29353800000001</v>
      </c>
    </row>
    <row r="180" spans="1:11">
      <c r="A180" s="237" t="s">
        <v>131</v>
      </c>
      <c r="B180" s="190" t="s">
        <v>27</v>
      </c>
      <c r="C180" s="841" t="s">
        <v>1281</v>
      </c>
      <c r="D180" s="841"/>
      <c r="E180" s="841"/>
      <c r="F180" s="841"/>
      <c r="G180" s="81" t="s">
        <v>127</v>
      </c>
      <c r="I180" s="480" t="s">
        <v>1901</v>
      </c>
      <c r="J180" s="80"/>
      <c r="K180" s="80"/>
    </row>
    <row r="181" spans="1:11" ht="50.1" customHeight="1">
      <c r="A181" s="179" t="s">
        <v>861</v>
      </c>
      <c r="B181" s="82"/>
      <c r="C181" s="830" t="s">
        <v>862</v>
      </c>
      <c r="D181" s="831"/>
      <c r="E181" s="831"/>
      <c r="F181" s="186">
        <f>G200</f>
        <v>19.904990208000001</v>
      </c>
      <c r="G181" s="83" t="s">
        <v>167</v>
      </c>
      <c r="I181" s="481"/>
      <c r="J181" s="272"/>
      <c r="K181" s="272"/>
    </row>
    <row r="182" spans="1:11">
      <c r="A182" s="818" t="s">
        <v>1902</v>
      </c>
      <c r="B182" s="819"/>
      <c r="C182" s="819"/>
      <c r="D182" s="819"/>
      <c r="E182" s="819"/>
      <c r="F182" s="819"/>
      <c r="G182" s="820"/>
    </row>
    <row r="183" spans="1:11">
      <c r="A183" s="84" t="s">
        <v>1903</v>
      </c>
      <c r="B183" s="84" t="s">
        <v>131</v>
      </c>
      <c r="C183" s="160" t="s">
        <v>1904</v>
      </c>
      <c r="D183" s="84" t="s">
        <v>167</v>
      </c>
      <c r="E183" s="85" t="s">
        <v>1905</v>
      </c>
      <c r="F183" s="86" t="s">
        <v>1906</v>
      </c>
      <c r="G183" s="86" t="s">
        <v>1907</v>
      </c>
    </row>
    <row r="184" spans="1:11">
      <c r="A184" s="87" t="s">
        <v>1917</v>
      </c>
      <c r="B184" s="87" t="s">
        <v>1927</v>
      </c>
      <c r="C184" s="278" t="s">
        <v>862</v>
      </c>
      <c r="D184" s="89" t="s">
        <v>167</v>
      </c>
      <c r="E184" s="88">
        <v>1</v>
      </c>
      <c r="F184" s="89">
        <f>'Mapa Cotações'!M19</f>
        <v>18.05</v>
      </c>
      <c r="G184" s="89">
        <f>F184*E184</f>
        <v>18.05</v>
      </c>
    </row>
    <row r="185" spans="1:11">
      <c r="A185" s="87"/>
      <c r="B185" s="87"/>
      <c r="C185" s="278" t="s">
        <v>34</v>
      </c>
      <c r="D185" s="89" t="s">
        <v>34</v>
      </c>
      <c r="E185" s="88"/>
      <c r="F185" s="89" t="s">
        <v>34</v>
      </c>
      <c r="G185" s="89" t="s">
        <v>34</v>
      </c>
    </row>
    <row r="186" spans="1:11">
      <c r="A186" s="832" t="s">
        <v>1908</v>
      </c>
      <c r="B186" s="833"/>
      <c r="C186" s="833"/>
      <c r="D186" s="833"/>
      <c r="E186" s="833"/>
      <c r="F186" s="834"/>
      <c r="G186" s="90">
        <f>SUM(G184:G185)</f>
        <v>18.05</v>
      </c>
    </row>
    <row r="187" spans="1:11">
      <c r="A187" s="91"/>
      <c r="B187" s="92"/>
      <c r="C187" s="161"/>
      <c r="D187" s="93"/>
      <c r="E187" s="94"/>
      <c r="F187" s="95"/>
      <c r="G187" s="96"/>
    </row>
    <row r="188" spans="1:11">
      <c r="A188" s="835" t="s">
        <v>1909</v>
      </c>
      <c r="B188" s="836"/>
      <c r="C188" s="836"/>
      <c r="D188" s="836"/>
      <c r="E188" s="836"/>
      <c r="F188" s="836"/>
      <c r="G188" s="837"/>
    </row>
    <row r="189" spans="1:11">
      <c r="A189" s="84" t="s">
        <v>1903</v>
      </c>
      <c r="B189" s="84" t="s">
        <v>131</v>
      </c>
      <c r="C189" s="160" t="s">
        <v>1904</v>
      </c>
      <c r="D189" s="84" t="s">
        <v>167</v>
      </c>
      <c r="E189" s="85" t="s">
        <v>1905</v>
      </c>
      <c r="F189" s="86" t="s">
        <v>1906</v>
      </c>
      <c r="G189" s="86" t="s">
        <v>1907</v>
      </c>
    </row>
    <row r="190" spans="1:11">
      <c r="A190" s="87" t="s">
        <v>2</v>
      </c>
      <c r="B190" s="87">
        <v>88264</v>
      </c>
      <c r="C190" s="278" t="s">
        <v>1910</v>
      </c>
      <c r="D190" s="89" t="s">
        <v>137</v>
      </c>
      <c r="E190" s="88">
        <v>6.1899999999999997E-2</v>
      </c>
      <c r="F190" s="89">
        <v>27.47</v>
      </c>
      <c r="G190" s="89">
        <v>1.7003929999999998</v>
      </c>
    </row>
    <row r="191" spans="1:11" ht="24">
      <c r="A191" s="87" t="s">
        <v>2</v>
      </c>
      <c r="B191" s="87">
        <v>88247</v>
      </c>
      <c r="C191" s="278" t="s">
        <v>1911</v>
      </c>
      <c r="D191" s="89" t="s">
        <v>137</v>
      </c>
      <c r="E191" s="88">
        <v>6.8770999999999997E-3</v>
      </c>
      <c r="F191" s="89">
        <v>22.48</v>
      </c>
      <c r="G191" s="89">
        <v>0.15459720799999999</v>
      </c>
    </row>
    <row r="192" spans="1:11">
      <c r="A192" s="832" t="s">
        <v>1908</v>
      </c>
      <c r="B192" s="833"/>
      <c r="C192" s="833"/>
      <c r="D192" s="833"/>
      <c r="E192" s="833"/>
      <c r="F192" s="834"/>
      <c r="G192" s="90">
        <v>1.8549902079999998</v>
      </c>
    </row>
    <row r="193" spans="1:11">
      <c r="A193" s="91"/>
      <c r="B193" s="92"/>
      <c r="C193" s="162"/>
      <c r="D193" s="92"/>
      <c r="E193" s="97"/>
      <c r="F193" s="98"/>
      <c r="G193" s="96"/>
    </row>
    <row r="194" spans="1:11">
      <c r="A194" s="835" t="s">
        <v>1912</v>
      </c>
      <c r="B194" s="836"/>
      <c r="C194" s="836"/>
      <c r="D194" s="836"/>
      <c r="E194" s="836"/>
      <c r="F194" s="836"/>
      <c r="G194" s="837"/>
    </row>
    <row r="195" spans="1:11">
      <c r="A195" s="84" t="s">
        <v>1903</v>
      </c>
      <c r="B195" s="84" t="s">
        <v>131</v>
      </c>
      <c r="C195" s="160" t="s">
        <v>1904</v>
      </c>
      <c r="D195" s="84" t="s">
        <v>167</v>
      </c>
      <c r="E195" s="85" t="s">
        <v>1905</v>
      </c>
      <c r="F195" s="86" t="s">
        <v>1906</v>
      </c>
      <c r="G195" s="86" t="s">
        <v>1907</v>
      </c>
    </row>
    <row r="196" spans="1:11">
      <c r="A196" s="87"/>
      <c r="B196" s="87"/>
      <c r="C196" s="278" t="s">
        <v>34</v>
      </c>
      <c r="D196" s="89" t="s">
        <v>34</v>
      </c>
      <c r="E196" s="88"/>
      <c r="F196" s="89" t="s">
        <v>34</v>
      </c>
      <c r="G196" s="89" t="s">
        <v>34</v>
      </c>
    </row>
    <row r="197" spans="1:11">
      <c r="A197" s="87"/>
      <c r="B197" s="87"/>
      <c r="C197" s="278" t="s">
        <v>34</v>
      </c>
      <c r="D197" s="89" t="s">
        <v>34</v>
      </c>
      <c r="E197" s="88"/>
      <c r="F197" s="89" t="s">
        <v>34</v>
      </c>
      <c r="G197" s="89" t="s">
        <v>34</v>
      </c>
    </row>
    <row r="198" spans="1:11">
      <c r="A198" s="832" t="s">
        <v>1908</v>
      </c>
      <c r="B198" s="833" t="s">
        <v>1908</v>
      </c>
      <c r="C198" s="833"/>
      <c r="D198" s="833"/>
      <c r="E198" s="833"/>
      <c r="F198" s="834"/>
      <c r="G198" s="90" t="s">
        <v>34</v>
      </c>
    </row>
    <row r="199" spans="1:11" ht="13.5" thickBot="1">
      <c r="A199" s="91"/>
      <c r="B199" s="92"/>
      <c r="C199" s="163"/>
      <c r="D199" s="99"/>
      <c r="E199" s="100"/>
      <c r="F199" s="101"/>
      <c r="G199" s="102"/>
    </row>
    <row r="200" spans="1:11" ht="13.5" thickBot="1">
      <c r="A200" s="838" t="s">
        <v>1259</v>
      </c>
      <c r="B200" s="839"/>
      <c r="C200" s="839"/>
      <c r="D200" s="839"/>
      <c r="E200" s="839"/>
      <c r="F200" s="840"/>
      <c r="G200" s="103">
        <f>SUM(G198,G192,G186)</f>
        <v>19.904990208000001</v>
      </c>
    </row>
    <row r="203" spans="1:11">
      <c r="A203" s="237" t="s">
        <v>131</v>
      </c>
      <c r="B203" s="190" t="s">
        <v>27</v>
      </c>
      <c r="C203" s="841" t="s">
        <v>1281</v>
      </c>
      <c r="D203" s="841"/>
      <c r="E203" s="841"/>
      <c r="F203" s="841"/>
      <c r="G203" s="81" t="s">
        <v>127</v>
      </c>
      <c r="I203" s="480" t="s">
        <v>1901</v>
      </c>
      <c r="J203" s="80"/>
      <c r="K203" s="80"/>
    </row>
    <row r="204" spans="1:11" ht="50.1" customHeight="1">
      <c r="A204" s="179" t="s">
        <v>1464</v>
      </c>
      <c r="B204" s="82"/>
      <c r="C204" s="830" t="s">
        <v>1928</v>
      </c>
      <c r="D204" s="831"/>
      <c r="E204" s="831"/>
      <c r="F204" s="186">
        <f>G223</f>
        <v>310.47653000000003</v>
      </c>
      <c r="G204" s="83" t="s">
        <v>167</v>
      </c>
      <c r="I204" s="481"/>
      <c r="J204" s="272"/>
      <c r="K204" s="272"/>
    </row>
    <row r="205" spans="1:11">
      <c r="A205" s="818" t="s">
        <v>1902</v>
      </c>
      <c r="B205" s="819"/>
      <c r="C205" s="819"/>
      <c r="D205" s="819"/>
      <c r="E205" s="819"/>
      <c r="F205" s="819"/>
      <c r="G205" s="820"/>
    </row>
    <row r="206" spans="1:11">
      <c r="A206" s="84" t="s">
        <v>1903</v>
      </c>
      <c r="B206" s="84" t="s">
        <v>131</v>
      </c>
      <c r="C206" s="160" t="s">
        <v>1904</v>
      </c>
      <c r="D206" s="84" t="s">
        <v>167</v>
      </c>
      <c r="E206" s="85" t="s">
        <v>1905</v>
      </c>
      <c r="F206" s="86" t="s">
        <v>1906</v>
      </c>
      <c r="G206" s="86" t="s">
        <v>1907</v>
      </c>
    </row>
    <row r="207" spans="1:11" ht="24">
      <c r="A207" s="87" t="s">
        <v>2</v>
      </c>
      <c r="B207" s="87">
        <v>2592</v>
      </c>
      <c r="C207" s="278" t="s">
        <v>1929</v>
      </c>
      <c r="D207" s="89" t="s">
        <v>1930</v>
      </c>
      <c r="E207" s="88">
        <v>1</v>
      </c>
      <c r="F207" s="89">
        <v>266.57</v>
      </c>
      <c r="G207" s="89">
        <f>F207*E207</f>
        <v>266.57</v>
      </c>
    </row>
    <row r="208" spans="1:11" ht="36">
      <c r="A208" s="87" t="s">
        <v>2</v>
      </c>
      <c r="B208" s="87">
        <v>11950</v>
      </c>
      <c r="C208" s="278" t="s">
        <v>1931</v>
      </c>
      <c r="D208" s="89" t="s">
        <v>1930</v>
      </c>
      <c r="E208" s="88">
        <v>2</v>
      </c>
      <c r="F208" s="89">
        <v>0.24</v>
      </c>
      <c r="G208" s="89">
        <f>F208*E208</f>
        <v>0.48</v>
      </c>
    </row>
    <row r="209" spans="1:7">
      <c r="A209" s="832" t="s">
        <v>1908</v>
      </c>
      <c r="B209" s="833"/>
      <c r="C209" s="833"/>
      <c r="D209" s="833"/>
      <c r="E209" s="833"/>
      <c r="F209" s="834"/>
      <c r="G209" s="90">
        <f>SUM(G207:G208)</f>
        <v>267.05</v>
      </c>
    </row>
    <row r="210" spans="1:7">
      <c r="A210" s="91"/>
      <c r="B210" s="92"/>
      <c r="C210" s="161"/>
      <c r="D210" s="93"/>
      <c r="E210" s="94"/>
      <c r="F210" s="95"/>
      <c r="G210" s="96"/>
    </row>
    <row r="211" spans="1:7">
      <c r="A211" s="835" t="s">
        <v>1909</v>
      </c>
      <c r="B211" s="836"/>
      <c r="C211" s="836"/>
      <c r="D211" s="836"/>
      <c r="E211" s="836"/>
      <c r="F211" s="836"/>
      <c r="G211" s="837"/>
    </row>
    <row r="212" spans="1:7">
      <c r="A212" s="84" t="s">
        <v>1903</v>
      </c>
      <c r="B212" s="84" t="s">
        <v>131</v>
      </c>
      <c r="C212" s="160" t="s">
        <v>1904</v>
      </c>
      <c r="D212" s="84" t="s">
        <v>167</v>
      </c>
      <c r="E212" s="85" t="s">
        <v>1905</v>
      </c>
      <c r="F212" s="86" t="s">
        <v>1906</v>
      </c>
      <c r="G212" s="86" t="s">
        <v>1907</v>
      </c>
    </row>
    <row r="213" spans="1:7">
      <c r="A213" s="87" t="s">
        <v>2</v>
      </c>
      <c r="B213" s="87">
        <v>88264</v>
      </c>
      <c r="C213" s="278" t="s">
        <v>1910</v>
      </c>
      <c r="D213" s="89" t="s">
        <v>137</v>
      </c>
      <c r="E213" s="88">
        <v>0.86939999999999995</v>
      </c>
      <c r="F213" s="89">
        <v>27.47</v>
      </c>
      <c r="G213" s="89">
        <f>F213*E213</f>
        <v>23.882417999999998</v>
      </c>
    </row>
    <row r="214" spans="1:7" ht="24">
      <c r="A214" s="87" t="s">
        <v>2</v>
      </c>
      <c r="B214" s="87">
        <v>88247</v>
      </c>
      <c r="C214" s="278" t="s">
        <v>1911</v>
      </c>
      <c r="D214" s="89" t="s">
        <v>137</v>
      </c>
      <c r="E214" s="88">
        <v>0.86939999999999995</v>
      </c>
      <c r="F214" s="89">
        <v>22.48</v>
      </c>
      <c r="G214" s="89">
        <f>F214*E214</f>
        <v>19.544111999999998</v>
      </c>
    </row>
    <row r="215" spans="1:7">
      <c r="A215" s="832" t="s">
        <v>1908</v>
      </c>
      <c r="B215" s="833"/>
      <c r="C215" s="833"/>
      <c r="D215" s="833"/>
      <c r="E215" s="833"/>
      <c r="F215" s="834"/>
      <c r="G215" s="90">
        <f>SUM(G213:G214)</f>
        <v>43.42653</v>
      </c>
    </row>
    <row r="216" spans="1:7">
      <c r="A216" s="91"/>
      <c r="B216" s="92"/>
      <c r="C216" s="162"/>
      <c r="D216" s="92"/>
      <c r="E216" s="97"/>
      <c r="F216" s="98"/>
      <c r="G216" s="96"/>
    </row>
    <row r="217" spans="1:7">
      <c r="A217" s="835" t="s">
        <v>1912</v>
      </c>
      <c r="B217" s="836"/>
      <c r="C217" s="836"/>
      <c r="D217" s="836"/>
      <c r="E217" s="836"/>
      <c r="F217" s="836"/>
      <c r="G217" s="837"/>
    </row>
    <row r="218" spans="1:7">
      <c r="A218" s="84" t="s">
        <v>1903</v>
      </c>
      <c r="B218" s="84" t="s">
        <v>131</v>
      </c>
      <c r="C218" s="160" t="s">
        <v>1904</v>
      </c>
      <c r="D218" s="84" t="s">
        <v>167</v>
      </c>
      <c r="E218" s="85" t="s">
        <v>1905</v>
      </c>
      <c r="F218" s="86" t="s">
        <v>1906</v>
      </c>
      <c r="G218" s="86" t="s">
        <v>1907</v>
      </c>
    </row>
    <row r="219" spans="1:7">
      <c r="A219" s="87"/>
      <c r="B219" s="87"/>
      <c r="C219" s="278" t="s">
        <v>34</v>
      </c>
      <c r="D219" s="89" t="s">
        <v>34</v>
      </c>
      <c r="E219" s="88"/>
      <c r="F219" s="89" t="s">
        <v>34</v>
      </c>
      <c r="G219" s="89" t="s">
        <v>34</v>
      </c>
    </row>
    <row r="220" spans="1:7">
      <c r="A220" s="87"/>
      <c r="B220" s="87"/>
      <c r="C220" s="278" t="s">
        <v>34</v>
      </c>
      <c r="D220" s="89" t="s">
        <v>34</v>
      </c>
      <c r="E220" s="88"/>
      <c r="F220" s="89" t="s">
        <v>34</v>
      </c>
      <c r="G220" s="89" t="s">
        <v>34</v>
      </c>
    </row>
    <row r="221" spans="1:7">
      <c r="A221" s="832" t="s">
        <v>1908</v>
      </c>
      <c r="B221" s="833" t="s">
        <v>1908</v>
      </c>
      <c r="C221" s="833"/>
      <c r="D221" s="833"/>
      <c r="E221" s="833"/>
      <c r="F221" s="834"/>
      <c r="G221" s="90" t="s">
        <v>34</v>
      </c>
    </row>
    <row r="222" spans="1:7" ht="13.5" thickBot="1">
      <c r="A222" s="91"/>
      <c r="B222" s="92"/>
      <c r="C222" s="163"/>
      <c r="D222" s="99"/>
      <c r="E222" s="100"/>
      <c r="F222" s="101"/>
      <c r="G222" s="102"/>
    </row>
    <row r="223" spans="1:7" ht="13.5" thickBot="1">
      <c r="A223" s="838" t="s">
        <v>1259</v>
      </c>
      <c r="B223" s="839"/>
      <c r="C223" s="839"/>
      <c r="D223" s="839"/>
      <c r="E223" s="839"/>
      <c r="F223" s="840"/>
      <c r="G223" s="103">
        <f>SUM(G221,G215,G209)</f>
        <v>310.47653000000003</v>
      </c>
    </row>
    <row r="228" spans="1:11">
      <c r="A228" s="237" t="s">
        <v>131</v>
      </c>
      <c r="B228" s="190" t="s">
        <v>27</v>
      </c>
      <c r="C228" s="841" t="s">
        <v>1281</v>
      </c>
      <c r="D228" s="841"/>
      <c r="E228" s="841"/>
      <c r="F228" s="841"/>
      <c r="G228" s="81" t="s">
        <v>127</v>
      </c>
      <c r="I228" s="480" t="s">
        <v>1901</v>
      </c>
      <c r="J228" s="80"/>
      <c r="K228" s="80"/>
    </row>
    <row r="229" spans="1:11" ht="50.1" customHeight="1">
      <c r="A229" s="179" t="s">
        <v>1477</v>
      </c>
      <c r="B229" s="82"/>
      <c r="C229" s="830" t="s">
        <v>1478</v>
      </c>
      <c r="D229" s="831"/>
      <c r="E229" s="831"/>
      <c r="F229" s="186">
        <f>G248</f>
        <v>515.98</v>
      </c>
      <c r="G229" s="83" t="s">
        <v>167</v>
      </c>
      <c r="I229" s="481"/>
      <c r="J229" s="272"/>
      <c r="K229" s="272"/>
    </row>
    <row r="230" spans="1:11">
      <c r="A230" s="818" t="s">
        <v>1902</v>
      </c>
      <c r="B230" s="819"/>
      <c r="C230" s="819"/>
      <c r="D230" s="819"/>
      <c r="E230" s="819"/>
      <c r="F230" s="819"/>
      <c r="G230" s="820"/>
    </row>
    <row r="231" spans="1:11">
      <c r="A231" s="84" t="s">
        <v>1903</v>
      </c>
      <c r="B231" s="84" t="s">
        <v>131</v>
      </c>
      <c r="C231" s="160" t="s">
        <v>1904</v>
      </c>
      <c r="D231" s="84" t="s">
        <v>167</v>
      </c>
      <c r="E231" s="85" t="s">
        <v>1905</v>
      </c>
      <c r="F231" s="86" t="s">
        <v>1906</v>
      </c>
      <c r="G231" s="86" t="s">
        <v>1907</v>
      </c>
    </row>
    <row r="232" spans="1:11">
      <c r="A232" s="87"/>
      <c r="B232" s="87"/>
      <c r="C232" s="278" t="s">
        <v>34</v>
      </c>
      <c r="D232" s="89" t="s">
        <v>34</v>
      </c>
      <c r="E232" s="88"/>
      <c r="F232" s="89" t="s">
        <v>34</v>
      </c>
      <c r="G232" s="89" t="s">
        <v>34</v>
      </c>
    </row>
    <row r="233" spans="1:11">
      <c r="A233" s="87"/>
      <c r="B233" s="87"/>
      <c r="C233" s="278" t="s">
        <v>34</v>
      </c>
      <c r="D233" s="89" t="s">
        <v>34</v>
      </c>
      <c r="E233" s="88"/>
      <c r="F233" s="89" t="s">
        <v>34</v>
      </c>
      <c r="G233" s="89" t="s">
        <v>34</v>
      </c>
    </row>
    <row r="234" spans="1:11">
      <c r="A234" s="832" t="s">
        <v>1908</v>
      </c>
      <c r="B234" s="833"/>
      <c r="C234" s="833"/>
      <c r="D234" s="833"/>
      <c r="E234" s="833"/>
      <c r="F234" s="834"/>
      <c r="G234" s="90" t="s">
        <v>34</v>
      </c>
    </row>
    <row r="235" spans="1:11">
      <c r="A235" s="91"/>
      <c r="B235" s="92"/>
      <c r="C235" s="161"/>
      <c r="D235" s="93"/>
      <c r="E235" s="94"/>
      <c r="F235" s="95"/>
      <c r="G235" s="96"/>
    </row>
    <row r="236" spans="1:11">
      <c r="A236" s="835" t="s">
        <v>1909</v>
      </c>
      <c r="B236" s="836"/>
      <c r="C236" s="836"/>
      <c r="D236" s="836"/>
      <c r="E236" s="836"/>
      <c r="F236" s="836"/>
      <c r="G236" s="837"/>
    </row>
    <row r="237" spans="1:11">
      <c r="A237" s="84" t="s">
        <v>1903</v>
      </c>
      <c r="B237" s="84" t="s">
        <v>131</v>
      </c>
      <c r="C237" s="160" t="s">
        <v>1904</v>
      </c>
      <c r="D237" s="84" t="s">
        <v>167</v>
      </c>
      <c r="E237" s="85" t="s">
        <v>1905</v>
      </c>
      <c r="F237" s="86" t="s">
        <v>1906</v>
      </c>
      <c r="G237" s="86" t="s">
        <v>1907</v>
      </c>
    </row>
    <row r="238" spans="1:11">
      <c r="A238" s="87" t="s">
        <v>2</v>
      </c>
      <c r="B238" s="87">
        <v>88264</v>
      </c>
      <c r="C238" s="278" t="s">
        <v>1910</v>
      </c>
      <c r="D238" s="89" t="s">
        <v>137</v>
      </c>
      <c r="E238" s="88">
        <v>0.2</v>
      </c>
      <c r="F238" s="89">
        <v>27.47</v>
      </c>
      <c r="G238" s="89">
        <f>F238*E238</f>
        <v>5.4939999999999998</v>
      </c>
    </row>
    <row r="239" spans="1:11" ht="24">
      <c r="A239" s="87" t="s">
        <v>2</v>
      </c>
      <c r="B239" s="87">
        <v>88247</v>
      </c>
      <c r="C239" s="278" t="s">
        <v>1911</v>
      </c>
      <c r="D239" s="89" t="s">
        <v>137</v>
      </c>
      <c r="E239" s="88">
        <v>0.2</v>
      </c>
      <c r="F239" s="89">
        <v>22.48</v>
      </c>
      <c r="G239" s="89">
        <f>F239*E239</f>
        <v>4.4960000000000004</v>
      </c>
    </row>
    <row r="240" spans="1:11">
      <c r="A240" s="832" t="s">
        <v>1908</v>
      </c>
      <c r="B240" s="833"/>
      <c r="C240" s="833"/>
      <c r="D240" s="833"/>
      <c r="E240" s="833"/>
      <c r="F240" s="834"/>
      <c r="G240" s="90">
        <f>SUM(G238:G239)</f>
        <v>9.99</v>
      </c>
    </row>
    <row r="241" spans="1:11">
      <c r="A241" s="91"/>
      <c r="B241" s="92"/>
      <c r="C241" s="162"/>
      <c r="D241" s="92"/>
      <c r="E241" s="97"/>
      <c r="F241" s="98"/>
      <c r="G241" s="96"/>
    </row>
    <row r="242" spans="1:11">
      <c r="A242" s="835" t="s">
        <v>1912</v>
      </c>
      <c r="B242" s="836"/>
      <c r="C242" s="836"/>
      <c r="D242" s="836"/>
      <c r="E242" s="836"/>
      <c r="F242" s="836"/>
      <c r="G242" s="837"/>
    </row>
    <row r="243" spans="1:11">
      <c r="A243" s="84" t="s">
        <v>1903</v>
      </c>
      <c r="B243" s="84" t="s">
        <v>131</v>
      </c>
      <c r="C243" s="160" t="s">
        <v>1904</v>
      </c>
      <c r="D243" s="84" t="s">
        <v>167</v>
      </c>
      <c r="E243" s="85" t="s">
        <v>1905</v>
      </c>
      <c r="F243" s="86" t="s">
        <v>1906</v>
      </c>
      <c r="G243" s="86" t="s">
        <v>1907</v>
      </c>
    </row>
    <row r="244" spans="1:11">
      <c r="A244" s="87" t="s">
        <v>1917</v>
      </c>
      <c r="B244" s="87" t="str">
        <f>'Mapa Cotações'!A177</f>
        <v>COT-0184</v>
      </c>
      <c r="C244" s="278" t="str">
        <f>'Mapa Cotações'!B177</f>
        <v>CAIXA DE PASSAGEM 40 X 40 X 20</v>
      </c>
      <c r="D244" s="89" t="s">
        <v>1932</v>
      </c>
      <c r="E244" s="88">
        <v>1</v>
      </c>
      <c r="F244" s="89">
        <f>'Mapa Cotações'!M177</f>
        <v>505.99</v>
      </c>
      <c r="G244" s="89">
        <f>F244*E244</f>
        <v>505.99</v>
      </c>
    </row>
    <row r="245" spans="1:11">
      <c r="A245" s="87"/>
      <c r="B245" s="87"/>
      <c r="C245" s="278" t="s">
        <v>34</v>
      </c>
      <c r="D245" s="89" t="s">
        <v>34</v>
      </c>
      <c r="E245" s="88"/>
      <c r="F245" s="89" t="s">
        <v>34</v>
      </c>
      <c r="G245" s="89" t="s">
        <v>34</v>
      </c>
    </row>
    <row r="246" spans="1:11">
      <c r="A246" s="832" t="s">
        <v>1908</v>
      </c>
      <c r="B246" s="833" t="s">
        <v>1908</v>
      </c>
      <c r="C246" s="833"/>
      <c r="D246" s="833"/>
      <c r="E246" s="833"/>
      <c r="F246" s="834"/>
      <c r="G246" s="90">
        <f>G244</f>
        <v>505.99</v>
      </c>
    </row>
    <row r="247" spans="1:11" ht="13.5" thickBot="1">
      <c r="A247" s="91"/>
      <c r="B247" s="92"/>
      <c r="C247" s="163"/>
      <c r="D247" s="99"/>
      <c r="E247" s="100"/>
      <c r="F247" s="101"/>
      <c r="G247" s="102"/>
    </row>
    <row r="248" spans="1:11" ht="13.5" thickBot="1">
      <c r="A248" s="838" t="s">
        <v>1259</v>
      </c>
      <c r="B248" s="839"/>
      <c r="C248" s="839"/>
      <c r="D248" s="839"/>
      <c r="E248" s="839"/>
      <c r="F248" s="840"/>
      <c r="G248" s="103">
        <f>SUM(G246,G240,G234)</f>
        <v>515.98</v>
      </c>
    </row>
    <row r="251" spans="1:11">
      <c r="A251" s="237" t="s">
        <v>131</v>
      </c>
      <c r="B251" s="190" t="s">
        <v>27</v>
      </c>
      <c r="C251" s="841" t="s">
        <v>1281</v>
      </c>
      <c r="D251" s="841"/>
      <c r="E251" s="841"/>
      <c r="F251" s="841"/>
      <c r="G251" s="81" t="s">
        <v>127</v>
      </c>
      <c r="I251" s="480" t="s">
        <v>1901</v>
      </c>
      <c r="J251" s="80"/>
      <c r="K251" s="80"/>
    </row>
    <row r="252" spans="1:11" ht="50.1" customHeight="1">
      <c r="A252" s="179" t="s">
        <v>357</v>
      </c>
      <c r="B252" s="82"/>
      <c r="C252" s="830" t="s">
        <v>1257</v>
      </c>
      <c r="D252" s="831"/>
      <c r="E252" s="831"/>
      <c r="F252" s="186">
        <f>G271</f>
        <v>260894.667693</v>
      </c>
      <c r="G252" s="83" t="s">
        <v>167</v>
      </c>
      <c r="I252" s="481"/>
      <c r="J252" s="272"/>
      <c r="K252" s="272"/>
    </row>
    <row r="253" spans="1:11">
      <c r="A253" s="818" t="s">
        <v>1902</v>
      </c>
      <c r="B253" s="819"/>
      <c r="C253" s="819"/>
      <c r="D253" s="819"/>
      <c r="E253" s="819"/>
      <c r="F253" s="819"/>
      <c r="G253" s="820"/>
    </row>
    <row r="254" spans="1:11">
      <c r="A254" s="84" t="s">
        <v>1903</v>
      </c>
      <c r="B254" s="84" t="s">
        <v>131</v>
      </c>
      <c r="C254" s="160" t="s">
        <v>1904</v>
      </c>
      <c r="D254" s="84" t="s">
        <v>167</v>
      </c>
      <c r="E254" s="85" t="s">
        <v>1905</v>
      </c>
      <c r="F254" s="86" t="s">
        <v>1906</v>
      </c>
      <c r="G254" s="86" t="s">
        <v>1907</v>
      </c>
    </row>
    <row r="255" spans="1:11">
      <c r="A255" s="87" t="s">
        <v>1917</v>
      </c>
      <c r="B255" s="87" t="s">
        <v>1933</v>
      </c>
      <c r="C255" s="278" t="s">
        <v>1483</v>
      </c>
      <c r="D255" s="89" t="s">
        <v>167</v>
      </c>
      <c r="E255" s="88">
        <v>1</v>
      </c>
      <c r="F255" s="89">
        <f>'Mapa Cotações'!M20</f>
        <v>260850</v>
      </c>
      <c r="G255" s="89">
        <f>F255</f>
        <v>260850</v>
      </c>
    </row>
    <row r="256" spans="1:11">
      <c r="A256" s="87"/>
      <c r="B256" s="87"/>
      <c r="C256" s="278" t="s">
        <v>34</v>
      </c>
      <c r="D256" s="89" t="s">
        <v>34</v>
      </c>
      <c r="E256" s="88"/>
      <c r="F256" s="89" t="s">
        <v>34</v>
      </c>
      <c r="G256" s="89" t="s">
        <v>34</v>
      </c>
    </row>
    <row r="257" spans="1:7">
      <c r="A257" s="832" t="s">
        <v>1908</v>
      </c>
      <c r="B257" s="833"/>
      <c r="C257" s="833"/>
      <c r="D257" s="833"/>
      <c r="E257" s="833"/>
      <c r="F257" s="834"/>
      <c r="G257" s="90">
        <f>G255</f>
        <v>260850</v>
      </c>
    </row>
    <row r="258" spans="1:7">
      <c r="A258" s="91"/>
      <c r="B258" s="92"/>
      <c r="C258" s="161"/>
      <c r="D258" s="93"/>
      <c r="E258" s="94"/>
      <c r="F258" s="95"/>
      <c r="G258" s="96"/>
    </row>
    <row r="259" spans="1:7">
      <c r="A259" s="835" t="s">
        <v>1909</v>
      </c>
      <c r="B259" s="836"/>
      <c r="C259" s="836"/>
      <c r="D259" s="836"/>
      <c r="E259" s="836"/>
      <c r="F259" s="836"/>
      <c r="G259" s="837"/>
    </row>
    <row r="260" spans="1:7">
      <c r="A260" s="84" t="s">
        <v>1903</v>
      </c>
      <c r="B260" s="84" t="s">
        <v>131</v>
      </c>
      <c r="C260" s="160" t="s">
        <v>1904</v>
      </c>
      <c r="D260" s="84" t="s">
        <v>167</v>
      </c>
      <c r="E260" s="85" t="s">
        <v>1905</v>
      </c>
      <c r="F260" s="86" t="s">
        <v>1906</v>
      </c>
      <c r="G260" s="86" t="s">
        <v>1907</v>
      </c>
    </row>
    <row r="261" spans="1:7">
      <c r="A261" s="87" t="s">
        <v>2</v>
      </c>
      <c r="B261" s="87">
        <v>88264</v>
      </c>
      <c r="C261" s="278" t="s">
        <v>1910</v>
      </c>
      <c r="D261" s="89" t="s">
        <v>137</v>
      </c>
      <c r="E261" s="88">
        <v>0.63839999999999997</v>
      </c>
      <c r="F261" s="89">
        <v>27.47</v>
      </c>
      <c r="G261" s="89">
        <v>17.536847999999999</v>
      </c>
    </row>
    <row r="262" spans="1:7" ht="24">
      <c r="A262" s="87" t="s">
        <v>2</v>
      </c>
      <c r="B262" s="87">
        <v>88247</v>
      </c>
      <c r="C262" s="278" t="s">
        <v>1911</v>
      </c>
      <c r="D262" s="89" t="s">
        <v>137</v>
      </c>
      <c r="E262" s="88">
        <v>0.63839999999999997</v>
      </c>
      <c r="F262" s="89">
        <v>22.48</v>
      </c>
      <c r="G262" s="89">
        <v>14.351232</v>
      </c>
    </row>
    <row r="263" spans="1:7">
      <c r="A263" s="832" t="s">
        <v>1908</v>
      </c>
      <c r="B263" s="833"/>
      <c r="C263" s="833"/>
      <c r="D263" s="833"/>
      <c r="E263" s="833"/>
      <c r="F263" s="834"/>
      <c r="G263" s="90">
        <v>31.888079999999999</v>
      </c>
    </row>
    <row r="264" spans="1:7">
      <c r="A264" s="91"/>
      <c r="B264" s="92"/>
      <c r="C264" s="162"/>
      <c r="D264" s="92"/>
      <c r="E264" s="97"/>
      <c r="F264" s="98"/>
      <c r="G264" s="96"/>
    </row>
    <row r="265" spans="1:7">
      <c r="A265" s="835" t="s">
        <v>1912</v>
      </c>
      <c r="B265" s="836"/>
      <c r="C265" s="836"/>
      <c r="D265" s="836"/>
      <c r="E265" s="836"/>
      <c r="F265" s="836"/>
      <c r="G265" s="837"/>
    </row>
    <row r="266" spans="1:7">
      <c r="A266" s="84" t="s">
        <v>1903</v>
      </c>
      <c r="B266" s="84" t="s">
        <v>131</v>
      </c>
      <c r="C266" s="160" t="s">
        <v>1904</v>
      </c>
      <c r="D266" s="84" t="s">
        <v>167</v>
      </c>
      <c r="E266" s="85" t="s">
        <v>1905</v>
      </c>
      <c r="F266" s="86" t="s">
        <v>1906</v>
      </c>
      <c r="G266" s="86" t="s">
        <v>1907</v>
      </c>
    </row>
    <row r="267" spans="1:7" ht="48">
      <c r="A267" s="87" t="s">
        <v>2</v>
      </c>
      <c r="B267" s="87">
        <v>87367</v>
      </c>
      <c r="C267" s="278" t="s">
        <v>1934</v>
      </c>
      <c r="D267" s="89" t="s">
        <v>253</v>
      </c>
      <c r="E267" s="88">
        <v>1.89E-2</v>
      </c>
      <c r="F267" s="89">
        <v>676.17</v>
      </c>
      <c r="G267" s="89">
        <v>12.779612999999999</v>
      </c>
    </row>
    <row r="268" spans="1:7">
      <c r="A268" s="87"/>
      <c r="B268" s="87"/>
      <c r="C268" s="278" t="s">
        <v>34</v>
      </c>
      <c r="D268" s="89" t="s">
        <v>34</v>
      </c>
      <c r="E268" s="88"/>
      <c r="F268" s="89" t="s">
        <v>34</v>
      </c>
      <c r="G268" s="89" t="s">
        <v>34</v>
      </c>
    </row>
    <row r="269" spans="1:7">
      <c r="A269" s="832" t="s">
        <v>1908</v>
      </c>
      <c r="B269" s="833" t="s">
        <v>1908</v>
      </c>
      <c r="C269" s="833"/>
      <c r="D269" s="833"/>
      <c r="E269" s="833"/>
      <c r="F269" s="834"/>
      <c r="G269" s="90">
        <v>12.779612999999999</v>
      </c>
    </row>
    <row r="270" spans="1:7" ht="13.5" thickBot="1">
      <c r="A270" s="91"/>
      <c r="B270" s="92"/>
      <c r="C270" s="163"/>
      <c r="D270" s="99"/>
      <c r="E270" s="100"/>
      <c r="F270" s="101"/>
      <c r="G270" s="102"/>
    </row>
    <row r="271" spans="1:7" ht="13.5" thickBot="1">
      <c r="A271" s="838" t="s">
        <v>1259</v>
      </c>
      <c r="B271" s="839"/>
      <c r="C271" s="839"/>
      <c r="D271" s="839"/>
      <c r="E271" s="839"/>
      <c r="F271" s="840"/>
      <c r="G271" s="103">
        <f>SUM(G269,G263,G257)</f>
        <v>260894.667693</v>
      </c>
    </row>
    <row r="278" spans="1:11">
      <c r="A278" s="237" t="s">
        <v>131</v>
      </c>
      <c r="B278" s="190" t="s">
        <v>27</v>
      </c>
      <c r="C278" s="841" t="s">
        <v>1281</v>
      </c>
      <c r="D278" s="841"/>
      <c r="E278" s="841"/>
      <c r="F278" s="841"/>
      <c r="G278" s="81" t="s">
        <v>127</v>
      </c>
      <c r="I278" s="480" t="s">
        <v>1901</v>
      </c>
      <c r="J278" s="80"/>
      <c r="K278" s="80"/>
    </row>
    <row r="279" spans="1:11" ht="110.25" customHeight="1">
      <c r="A279" s="179" t="s">
        <v>393</v>
      </c>
      <c r="B279" s="82"/>
      <c r="C279" s="830" t="s">
        <v>3037</v>
      </c>
      <c r="D279" s="831"/>
      <c r="E279" s="831"/>
      <c r="F279" s="186">
        <f>G298</f>
        <v>1045522.6064</v>
      </c>
      <c r="G279" s="83" t="s">
        <v>167</v>
      </c>
      <c r="I279" s="481"/>
      <c r="J279" s="272"/>
      <c r="K279" s="272"/>
    </row>
    <row r="280" spans="1:11">
      <c r="A280" s="818" t="s">
        <v>1902</v>
      </c>
      <c r="B280" s="819"/>
      <c r="C280" s="819"/>
      <c r="D280" s="819"/>
      <c r="E280" s="819"/>
      <c r="F280" s="819"/>
      <c r="G280" s="820"/>
    </row>
    <row r="281" spans="1:11">
      <c r="A281" s="84" t="s">
        <v>1903</v>
      </c>
      <c r="B281" s="84" t="s">
        <v>131</v>
      </c>
      <c r="C281" s="160" t="s">
        <v>1904</v>
      </c>
      <c r="D281" s="84" t="s">
        <v>167</v>
      </c>
      <c r="E281" s="85" t="s">
        <v>1905</v>
      </c>
      <c r="F281" s="86" t="s">
        <v>1906</v>
      </c>
      <c r="G281" s="86" t="s">
        <v>1907</v>
      </c>
    </row>
    <row r="282" spans="1:11" ht="132">
      <c r="A282" s="87" t="s">
        <v>1917</v>
      </c>
      <c r="B282" s="187" t="s">
        <v>1935</v>
      </c>
      <c r="C282" s="278" t="s">
        <v>394</v>
      </c>
      <c r="D282" s="89" t="s">
        <v>167</v>
      </c>
      <c r="E282" s="88">
        <v>1</v>
      </c>
      <c r="F282" s="89">
        <f>'Mapa Cotações'!M21</f>
        <v>1035893.0064000001</v>
      </c>
      <c r="G282" s="89">
        <f>F282</f>
        <v>1035893.0064000001</v>
      </c>
    </row>
    <row r="283" spans="1:11">
      <c r="A283" s="87"/>
      <c r="B283" s="87"/>
      <c r="C283" s="278" t="s">
        <v>34</v>
      </c>
      <c r="D283" s="89" t="s">
        <v>34</v>
      </c>
      <c r="E283" s="88"/>
      <c r="F283" s="89" t="s">
        <v>34</v>
      </c>
      <c r="G283" s="89" t="s">
        <v>34</v>
      </c>
    </row>
    <row r="284" spans="1:11">
      <c r="A284" s="832" t="s">
        <v>1908</v>
      </c>
      <c r="B284" s="833"/>
      <c r="C284" s="833"/>
      <c r="D284" s="833"/>
      <c r="E284" s="833"/>
      <c r="F284" s="834"/>
      <c r="G284" s="90">
        <f>G282</f>
        <v>1035893.0064000001</v>
      </c>
    </row>
    <row r="285" spans="1:11">
      <c r="A285" s="91"/>
      <c r="B285" s="92"/>
      <c r="C285" s="161"/>
      <c r="D285" s="93"/>
      <c r="E285" s="94"/>
      <c r="F285" s="95"/>
      <c r="G285" s="96"/>
    </row>
    <row r="286" spans="1:11">
      <c r="A286" s="835" t="s">
        <v>1909</v>
      </c>
      <c r="B286" s="836"/>
      <c r="C286" s="836"/>
      <c r="D286" s="836"/>
      <c r="E286" s="836"/>
      <c r="F286" s="836"/>
      <c r="G286" s="837"/>
    </row>
    <row r="287" spans="1:11">
      <c r="A287" s="84" t="s">
        <v>1903</v>
      </c>
      <c r="B287" s="84" t="s">
        <v>131</v>
      </c>
      <c r="C287" s="160" t="s">
        <v>1904</v>
      </c>
      <c r="D287" s="84" t="s">
        <v>167</v>
      </c>
      <c r="E287" s="85" t="s">
        <v>1905</v>
      </c>
      <c r="F287" s="86" t="s">
        <v>1906</v>
      </c>
      <c r="G287" s="86" t="s">
        <v>1907</v>
      </c>
    </row>
    <row r="288" spans="1:11" ht="24">
      <c r="A288" s="636" t="s">
        <v>2</v>
      </c>
      <c r="B288" s="636">
        <v>100308</v>
      </c>
      <c r="C288" s="661" t="s">
        <v>1936</v>
      </c>
      <c r="D288" s="638" t="s">
        <v>137</v>
      </c>
      <c r="E288" s="637">
        <v>160</v>
      </c>
      <c r="F288" s="638">
        <v>28.94</v>
      </c>
      <c r="G288" s="638">
        <v>4630.4000000000005</v>
      </c>
    </row>
    <row r="289" spans="1:7" ht="24">
      <c r="A289" s="636" t="s">
        <v>2</v>
      </c>
      <c r="B289" s="636">
        <v>88250</v>
      </c>
      <c r="C289" s="661" t="s">
        <v>1937</v>
      </c>
      <c r="D289" s="638" t="s">
        <v>137</v>
      </c>
      <c r="E289" s="637">
        <v>240</v>
      </c>
      <c r="F289" s="638">
        <v>20.83</v>
      </c>
      <c r="G289" s="638">
        <v>4999.2</v>
      </c>
    </row>
    <row r="290" spans="1:7">
      <c r="A290" s="832" t="s">
        <v>1908</v>
      </c>
      <c r="B290" s="833"/>
      <c r="C290" s="833"/>
      <c r="D290" s="833"/>
      <c r="E290" s="833"/>
      <c r="F290" s="834"/>
      <c r="G290" s="90">
        <f>G288+G289</f>
        <v>9629.6</v>
      </c>
    </row>
    <row r="291" spans="1:7">
      <c r="A291" s="91"/>
      <c r="B291" s="92"/>
      <c r="C291" s="162"/>
      <c r="D291" s="92"/>
      <c r="E291" s="97"/>
      <c r="F291" s="98"/>
      <c r="G291" s="96"/>
    </row>
    <row r="292" spans="1:7">
      <c r="A292" s="835" t="s">
        <v>1912</v>
      </c>
      <c r="B292" s="836"/>
      <c r="C292" s="836"/>
      <c r="D292" s="836"/>
      <c r="E292" s="836"/>
      <c r="F292" s="836"/>
      <c r="G292" s="837"/>
    </row>
    <row r="293" spans="1:7">
      <c r="A293" s="84" t="s">
        <v>1903</v>
      </c>
      <c r="B293" s="84" t="s">
        <v>131</v>
      </c>
      <c r="C293" s="160" t="s">
        <v>1904</v>
      </c>
      <c r="D293" s="84" t="s">
        <v>167</v>
      </c>
      <c r="E293" s="85" t="s">
        <v>1905</v>
      </c>
      <c r="F293" s="86" t="s">
        <v>1906</v>
      </c>
      <c r="G293" s="86" t="s">
        <v>1907</v>
      </c>
    </row>
    <row r="294" spans="1:7">
      <c r="A294" s="87"/>
      <c r="B294" s="87"/>
      <c r="C294" s="278" t="s">
        <v>34</v>
      </c>
      <c r="D294" s="89" t="s">
        <v>34</v>
      </c>
      <c r="E294" s="88"/>
      <c r="F294" s="89" t="s">
        <v>34</v>
      </c>
      <c r="G294" s="89" t="s">
        <v>34</v>
      </c>
    </row>
    <row r="295" spans="1:7">
      <c r="A295" s="87"/>
      <c r="B295" s="87"/>
      <c r="C295" s="278" t="s">
        <v>34</v>
      </c>
      <c r="D295" s="89" t="s">
        <v>34</v>
      </c>
      <c r="E295" s="88"/>
      <c r="F295" s="89" t="s">
        <v>34</v>
      </c>
      <c r="G295" s="89" t="s">
        <v>34</v>
      </c>
    </row>
    <row r="296" spans="1:7">
      <c r="A296" s="832" t="s">
        <v>1908</v>
      </c>
      <c r="B296" s="833" t="s">
        <v>1908</v>
      </c>
      <c r="C296" s="833"/>
      <c r="D296" s="833"/>
      <c r="E296" s="833"/>
      <c r="F296" s="834"/>
      <c r="G296" s="90" t="s">
        <v>34</v>
      </c>
    </row>
    <row r="297" spans="1:7" ht="13.5" thickBot="1">
      <c r="A297" s="91"/>
      <c r="B297" s="92"/>
      <c r="C297" s="163"/>
      <c r="D297" s="99"/>
      <c r="E297" s="100"/>
      <c r="F297" s="101"/>
      <c r="G297" s="102"/>
    </row>
    <row r="298" spans="1:7" ht="13.5" thickBot="1">
      <c r="A298" s="838" t="s">
        <v>1259</v>
      </c>
      <c r="B298" s="839"/>
      <c r="C298" s="839"/>
      <c r="D298" s="839"/>
      <c r="E298" s="839"/>
      <c r="F298" s="840"/>
      <c r="G298" s="103">
        <f>SUM(G290,G284)</f>
        <v>1045522.6064</v>
      </c>
    </row>
    <row r="300" spans="1:7">
      <c r="A300" s="660"/>
      <c r="B300" s="653"/>
      <c r="C300" s="815"/>
      <c r="D300" s="815"/>
      <c r="E300" s="815"/>
      <c r="F300" s="815"/>
      <c r="G300" s="632"/>
    </row>
    <row r="301" spans="1:7">
      <c r="A301" s="179"/>
      <c r="B301" s="82"/>
      <c r="C301" s="830"/>
      <c r="D301" s="831"/>
      <c r="E301" s="831"/>
      <c r="F301" s="186"/>
      <c r="G301" s="83"/>
    </row>
    <row r="302" spans="1:7">
      <c r="A302" s="818"/>
      <c r="B302" s="819"/>
      <c r="C302" s="819"/>
      <c r="D302" s="819"/>
      <c r="E302" s="819"/>
      <c r="F302" s="819"/>
      <c r="G302" s="820"/>
    </row>
    <row r="303" spans="1:7">
      <c r="A303" s="633"/>
      <c r="B303" s="633"/>
      <c r="C303" s="649"/>
      <c r="D303" s="633"/>
      <c r="E303" s="634"/>
      <c r="F303" s="635"/>
      <c r="G303" s="635"/>
    </row>
    <row r="304" spans="1:7">
      <c r="A304" s="636"/>
      <c r="B304" s="187"/>
      <c r="C304" s="661"/>
      <c r="D304" s="638"/>
      <c r="E304" s="637"/>
      <c r="F304" s="638"/>
      <c r="G304" s="638"/>
    </row>
    <row r="305" spans="1:7">
      <c r="A305" s="636"/>
      <c r="B305" s="636"/>
      <c r="C305" s="661"/>
      <c r="D305" s="638"/>
      <c r="E305" s="637"/>
      <c r="F305" s="638"/>
      <c r="G305" s="638"/>
    </row>
    <row r="306" spans="1:7">
      <c r="A306" s="821"/>
      <c r="B306" s="822"/>
      <c r="C306" s="822"/>
      <c r="D306" s="822"/>
      <c r="E306" s="822"/>
      <c r="F306" s="823"/>
      <c r="G306" s="613"/>
    </row>
    <row r="307" spans="1:7">
      <c r="A307" s="639"/>
      <c r="B307" s="640"/>
      <c r="C307" s="161"/>
      <c r="D307" s="93"/>
      <c r="E307" s="94"/>
      <c r="F307" s="95"/>
      <c r="G307" s="641"/>
    </row>
    <row r="308" spans="1:7">
      <c r="A308" s="824"/>
      <c r="B308" s="825"/>
      <c r="C308" s="825"/>
      <c r="D308" s="825"/>
      <c r="E308" s="825"/>
      <c r="F308" s="825"/>
      <c r="G308" s="826"/>
    </row>
    <row r="309" spans="1:7">
      <c r="A309" s="633"/>
      <c r="B309" s="633"/>
      <c r="C309" s="649"/>
      <c r="D309" s="633"/>
      <c r="E309" s="634"/>
      <c r="F309" s="635"/>
      <c r="G309" s="635"/>
    </row>
    <row r="310" spans="1:7">
      <c r="A310" s="636"/>
      <c r="B310" s="636"/>
      <c r="C310" s="661"/>
      <c r="D310" s="638"/>
      <c r="E310" s="637"/>
      <c r="F310" s="638"/>
      <c r="G310" s="638"/>
    </row>
    <row r="311" spans="1:7">
      <c r="A311" s="636"/>
      <c r="B311" s="636"/>
      <c r="C311" s="661"/>
      <c r="D311" s="638"/>
      <c r="E311" s="637"/>
      <c r="F311" s="638"/>
      <c r="G311" s="638"/>
    </row>
    <row r="312" spans="1:7">
      <c r="A312" s="821"/>
      <c r="B312" s="822"/>
      <c r="C312" s="822"/>
      <c r="D312" s="822"/>
      <c r="E312" s="822"/>
      <c r="F312" s="823"/>
      <c r="G312" s="613"/>
    </row>
    <row r="313" spans="1:7">
      <c r="A313" s="639"/>
      <c r="B313" s="640"/>
      <c r="C313" s="650"/>
      <c r="D313" s="640"/>
      <c r="E313" s="642"/>
      <c r="F313" s="643"/>
      <c r="G313" s="641"/>
    </row>
    <row r="314" spans="1:7">
      <c r="A314" s="824"/>
      <c r="B314" s="825"/>
      <c r="C314" s="825"/>
      <c r="D314" s="825"/>
      <c r="E314" s="825"/>
      <c r="F314" s="825"/>
      <c r="G314" s="826"/>
    </row>
    <row r="315" spans="1:7">
      <c r="A315" s="633"/>
      <c r="B315" s="633"/>
      <c r="C315" s="649"/>
      <c r="D315" s="633"/>
      <c r="E315" s="634"/>
      <c r="F315" s="635"/>
      <c r="G315" s="635"/>
    </row>
    <row r="316" spans="1:7">
      <c r="A316" s="636"/>
      <c r="B316" s="636"/>
      <c r="C316" s="661"/>
      <c r="D316" s="638"/>
      <c r="E316" s="637"/>
      <c r="F316" s="638"/>
      <c r="G316" s="638"/>
    </row>
    <row r="317" spans="1:7">
      <c r="A317" s="636"/>
      <c r="B317" s="636"/>
      <c r="C317" s="661"/>
      <c r="D317" s="638"/>
      <c r="E317" s="637"/>
      <c r="F317" s="638"/>
      <c r="G317" s="638"/>
    </row>
    <row r="318" spans="1:7">
      <c r="A318" s="821"/>
      <c r="B318" s="822"/>
      <c r="C318" s="822"/>
      <c r="D318" s="822"/>
      <c r="E318" s="822"/>
      <c r="F318" s="823"/>
      <c r="G318" s="613"/>
    </row>
    <row r="319" spans="1:7" ht="13.5" thickBot="1">
      <c r="A319" s="639"/>
      <c r="B319" s="640"/>
      <c r="C319" s="651"/>
      <c r="D319" s="644"/>
      <c r="E319" s="645"/>
      <c r="F319" s="646"/>
      <c r="G319" s="647"/>
    </row>
    <row r="320" spans="1:7" ht="13.5" thickBot="1">
      <c r="A320" s="827"/>
      <c r="B320" s="828"/>
      <c r="C320" s="828"/>
      <c r="D320" s="828"/>
      <c r="E320" s="828"/>
      <c r="F320" s="829"/>
      <c r="G320" s="103"/>
    </row>
    <row r="322" spans="1:11">
      <c r="A322" s="237" t="s">
        <v>131</v>
      </c>
      <c r="B322" s="190" t="s">
        <v>27</v>
      </c>
      <c r="C322" s="841" t="s">
        <v>1281</v>
      </c>
      <c r="D322" s="841"/>
      <c r="E322" s="841"/>
      <c r="F322" s="841"/>
      <c r="G322" s="81" t="s">
        <v>127</v>
      </c>
      <c r="I322" s="480" t="s">
        <v>1901</v>
      </c>
      <c r="J322" s="80"/>
      <c r="K322" s="80"/>
    </row>
    <row r="323" spans="1:11" ht="109.5" customHeight="1">
      <c r="A323" s="179" t="s">
        <v>381</v>
      </c>
      <c r="B323" s="82"/>
      <c r="C323" s="830" t="s">
        <v>1258</v>
      </c>
      <c r="D323" s="831"/>
      <c r="E323" s="831"/>
      <c r="F323" s="186">
        <f>G342</f>
        <v>36830.719999999994</v>
      </c>
      <c r="G323" s="83" t="s">
        <v>163</v>
      </c>
      <c r="I323" s="481"/>
      <c r="J323" s="272"/>
      <c r="K323" s="272"/>
    </row>
    <row r="324" spans="1:11">
      <c r="A324" s="818" t="s">
        <v>1902</v>
      </c>
      <c r="B324" s="819"/>
      <c r="C324" s="819"/>
      <c r="D324" s="819"/>
      <c r="E324" s="819"/>
      <c r="F324" s="819"/>
      <c r="G324" s="820"/>
    </row>
    <row r="325" spans="1:11">
      <c r="A325" s="84" t="s">
        <v>1903</v>
      </c>
      <c r="B325" s="84" t="s">
        <v>131</v>
      </c>
      <c r="C325" s="160" t="s">
        <v>1904</v>
      </c>
      <c r="D325" s="84" t="s">
        <v>167</v>
      </c>
      <c r="E325" s="85" t="s">
        <v>1905</v>
      </c>
      <c r="F325" s="86" t="s">
        <v>1906</v>
      </c>
      <c r="G325" s="86" t="s">
        <v>1907</v>
      </c>
    </row>
    <row r="326" spans="1:11" ht="120">
      <c r="A326" s="87" t="s">
        <v>1917</v>
      </c>
      <c r="B326" s="187" t="s">
        <v>1938</v>
      </c>
      <c r="C326" s="278" t="s">
        <v>1258</v>
      </c>
      <c r="D326" s="89" t="s">
        <v>163</v>
      </c>
      <c r="E326" s="88">
        <v>1</v>
      </c>
      <c r="F326" s="89">
        <f>'Mapa Cotações'!M22</f>
        <v>30089.999999999996</v>
      </c>
      <c r="G326" s="89">
        <f>F326</f>
        <v>30089.999999999996</v>
      </c>
    </row>
    <row r="327" spans="1:11">
      <c r="A327" s="87"/>
      <c r="B327" s="87"/>
      <c r="C327" s="278" t="s">
        <v>34</v>
      </c>
      <c r="D327" s="89" t="s">
        <v>34</v>
      </c>
      <c r="E327" s="88"/>
      <c r="F327" s="89" t="s">
        <v>34</v>
      </c>
      <c r="G327" s="89" t="s">
        <v>34</v>
      </c>
    </row>
    <row r="328" spans="1:11">
      <c r="A328" s="832" t="s">
        <v>1908</v>
      </c>
      <c r="B328" s="833"/>
      <c r="C328" s="833"/>
      <c r="D328" s="833"/>
      <c r="E328" s="833"/>
      <c r="F328" s="834"/>
      <c r="G328" s="90">
        <f>G326</f>
        <v>30089.999999999996</v>
      </c>
    </row>
    <row r="329" spans="1:11">
      <c r="A329" s="91"/>
      <c r="B329" s="92"/>
      <c r="C329" s="161"/>
      <c r="D329" s="93"/>
      <c r="E329" s="94"/>
      <c r="F329" s="95"/>
      <c r="G329" s="96"/>
    </row>
    <row r="330" spans="1:11">
      <c r="A330" s="835" t="s">
        <v>1909</v>
      </c>
      <c r="B330" s="836"/>
      <c r="C330" s="836"/>
      <c r="D330" s="836"/>
      <c r="E330" s="836"/>
      <c r="F330" s="836"/>
      <c r="G330" s="837"/>
    </row>
    <row r="331" spans="1:11">
      <c r="A331" s="84" t="s">
        <v>1903</v>
      </c>
      <c r="B331" s="84" t="s">
        <v>131</v>
      </c>
      <c r="C331" s="160" t="s">
        <v>1904</v>
      </c>
      <c r="D331" s="84" t="s">
        <v>167</v>
      </c>
      <c r="E331" s="85" t="s">
        <v>1905</v>
      </c>
      <c r="F331" s="86" t="s">
        <v>1906</v>
      </c>
      <c r="G331" s="86" t="s">
        <v>1907</v>
      </c>
    </row>
    <row r="332" spans="1:11" ht="24">
      <c r="A332" s="87" t="s">
        <v>2</v>
      </c>
      <c r="B332" s="87">
        <v>100308</v>
      </c>
      <c r="C332" s="278" t="s">
        <v>1936</v>
      </c>
      <c r="D332" s="89" t="s">
        <v>137</v>
      </c>
      <c r="E332" s="88">
        <v>112</v>
      </c>
      <c r="F332" s="89">
        <v>28.94</v>
      </c>
      <c r="G332" s="89">
        <v>3241.28</v>
      </c>
    </row>
    <row r="333" spans="1:11" ht="24">
      <c r="A333" s="87" t="s">
        <v>2</v>
      </c>
      <c r="B333" s="87">
        <v>88250</v>
      </c>
      <c r="C333" s="278" t="s">
        <v>1937</v>
      </c>
      <c r="D333" s="89" t="s">
        <v>137</v>
      </c>
      <c r="E333" s="88">
        <v>168</v>
      </c>
      <c r="F333" s="89">
        <v>20.83</v>
      </c>
      <c r="G333" s="89">
        <v>3499.4399999999996</v>
      </c>
    </row>
    <row r="334" spans="1:11">
      <c r="A334" s="832" t="s">
        <v>1908</v>
      </c>
      <c r="B334" s="833"/>
      <c r="C334" s="833"/>
      <c r="D334" s="833"/>
      <c r="E334" s="833"/>
      <c r="F334" s="834"/>
      <c r="G334" s="90">
        <v>6740.7199999999993</v>
      </c>
    </row>
    <row r="335" spans="1:11">
      <c r="A335" s="91"/>
      <c r="B335" s="92"/>
      <c r="C335" s="162"/>
      <c r="D335" s="92"/>
      <c r="E335" s="97"/>
      <c r="F335" s="98"/>
      <c r="G335" s="96"/>
    </row>
    <row r="336" spans="1:11">
      <c r="A336" s="835" t="s">
        <v>1912</v>
      </c>
      <c r="B336" s="836"/>
      <c r="C336" s="836"/>
      <c r="D336" s="836"/>
      <c r="E336" s="836"/>
      <c r="F336" s="836"/>
      <c r="G336" s="837"/>
    </row>
    <row r="337" spans="1:7">
      <c r="A337" s="84" t="s">
        <v>1903</v>
      </c>
      <c r="B337" s="84" t="s">
        <v>131</v>
      </c>
      <c r="C337" s="160" t="s">
        <v>1904</v>
      </c>
      <c r="D337" s="84" t="s">
        <v>167</v>
      </c>
      <c r="E337" s="85" t="s">
        <v>1905</v>
      </c>
      <c r="F337" s="86" t="s">
        <v>1906</v>
      </c>
      <c r="G337" s="86" t="s">
        <v>1907</v>
      </c>
    </row>
    <row r="338" spans="1:7">
      <c r="A338" s="87"/>
      <c r="B338" s="87"/>
      <c r="C338" s="278" t="s">
        <v>34</v>
      </c>
      <c r="D338" s="89" t="s">
        <v>34</v>
      </c>
      <c r="E338" s="88"/>
      <c r="F338" s="89" t="s">
        <v>34</v>
      </c>
      <c r="G338" s="89" t="s">
        <v>34</v>
      </c>
    </row>
    <row r="339" spans="1:7">
      <c r="A339" s="87"/>
      <c r="B339" s="87"/>
      <c r="C339" s="278" t="s">
        <v>34</v>
      </c>
      <c r="D339" s="89" t="s">
        <v>34</v>
      </c>
      <c r="E339" s="88"/>
      <c r="F339" s="89" t="s">
        <v>34</v>
      </c>
      <c r="G339" s="89" t="s">
        <v>34</v>
      </c>
    </row>
    <row r="340" spans="1:7">
      <c r="A340" s="832" t="s">
        <v>1908</v>
      </c>
      <c r="B340" s="833" t="s">
        <v>1908</v>
      </c>
      <c r="C340" s="833"/>
      <c r="D340" s="833"/>
      <c r="E340" s="833"/>
      <c r="F340" s="834"/>
      <c r="G340" s="90" t="s">
        <v>34</v>
      </c>
    </row>
    <row r="341" spans="1:7" ht="13.5" thickBot="1">
      <c r="A341" s="91"/>
      <c r="B341" s="92"/>
      <c r="C341" s="163"/>
      <c r="D341" s="99"/>
      <c r="E341" s="100"/>
      <c r="F341" s="101"/>
      <c r="G341" s="102"/>
    </row>
    <row r="342" spans="1:7" ht="13.5" thickBot="1">
      <c r="A342" s="838" t="s">
        <v>1259</v>
      </c>
      <c r="B342" s="839"/>
      <c r="C342" s="839"/>
      <c r="D342" s="839"/>
      <c r="E342" s="839"/>
      <c r="F342" s="840"/>
      <c r="G342" s="103">
        <f>SUM(G334,G328)</f>
        <v>36830.719999999994</v>
      </c>
    </row>
    <row r="344" spans="1:7">
      <c r="A344" s="237" t="s">
        <v>131</v>
      </c>
      <c r="B344" s="190" t="s">
        <v>27</v>
      </c>
      <c r="C344" s="841" t="s">
        <v>1281</v>
      </c>
      <c r="D344" s="841"/>
      <c r="E344" s="841"/>
      <c r="F344" s="841"/>
      <c r="G344" s="81" t="s">
        <v>127</v>
      </c>
    </row>
    <row r="345" spans="1:7" ht="45.75" customHeight="1">
      <c r="A345" s="179" t="s">
        <v>385</v>
      </c>
      <c r="B345" s="82"/>
      <c r="C345" s="830" t="s">
        <v>386</v>
      </c>
      <c r="D345" s="831"/>
      <c r="E345" s="831"/>
      <c r="F345" s="186">
        <f>G364</f>
        <v>11734.07</v>
      </c>
      <c r="G345" s="83" t="s">
        <v>163</v>
      </c>
    </row>
    <row r="346" spans="1:7">
      <c r="A346" s="818" t="s">
        <v>1902</v>
      </c>
      <c r="B346" s="819"/>
      <c r="C346" s="819"/>
      <c r="D346" s="819"/>
      <c r="E346" s="819"/>
      <c r="F346" s="819"/>
      <c r="G346" s="820"/>
    </row>
    <row r="347" spans="1:7">
      <c r="A347" s="84" t="s">
        <v>1903</v>
      </c>
      <c r="B347" s="84" t="s">
        <v>131</v>
      </c>
      <c r="C347" s="160" t="s">
        <v>1904</v>
      </c>
      <c r="D347" s="84" t="s">
        <v>167</v>
      </c>
      <c r="E347" s="85" t="s">
        <v>1905</v>
      </c>
      <c r="F347" s="86" t="s">
        <v>1906</v>
      </c>
      <c r="G347" s="86" t="s">
        <v>1907</v>
      </c>
    </row>
    <row r="348" spans="1:7" ht="24.75" customHeight="1">
      <c r="A348" s="87" t="s">
        <v>1917</v>
      </c>
      <c r="B348" s="187" t="s">
        <v>1938</v>
      </c>
      <c r="C348" s="278" t="str">
        <f>'Mapa Cotações'!B170</f>
        <v>Controlador lógico programável M 172 com display 42 E/S ETH TM172PDG42R Schneider</v>
      </c>
      <c r="D348" s="89" t="s">
        <v>163</v>
      </c>
      <c r="E348" s="88">
        <v>1</v>
      </c>
      <c r="F348" s="89">
        <f>'Mapa Cotações'!M170</f>
        <v>7114.55</v>
      </c>
      <c r="G348" s="89">
        <f>F348*E348</f>
        <v>7114.55</v>
      </c>
    </row>
    <row r="349" spans="1:7">
      <c r="A349" s="87"/>
      <c r="B349" s="87"/>
      <c r="C349" s="278" t="s">
        <v>34</v>
      </c>
      <c r="D349" s="89" t="s">
        <v>34</v>
      </c>
      <c r="E349" s="88"/>
      <c r="F349" s="89" t="s">
        <v>34</v>
      </c>
      <c r="G349" s="89" t="s">
        <v>34</v>
      </c>
    </row>
    <row r="350" spans="1:7">
      <c r="A350" s="832" t="s">
        <v>1908</v>
      </c>
      <c r="B350" s="833"/>
      <c r="C350" s="833"/>
      <c r="D350" s="833"/>
      <c r="E350" s="833"/>
      <c r="F350" s="834"/>
      <c r="G350" s="90">
        <f>SUM(G348:G349)</f>
        <v>7114.55</v>
      </c>
    </row>
    <row r="351" spans="1:7">
      <c r="A351" s="91"/>
      <c r="B351" s="92"/>
      <c r="C351" s="161"/>
      <c r="D351" s="93"/>
      <c r="E351" s="94"/>
      <c r="F351" s="95"/>
      <c r="G351" s="96"/>
    </row>
    <row r="352" spans="1:7">
      <c r="A352" s="835" t="s">
        <v>1909</v>
      </c>
      <c r="B352" s="836"/>
      <c r="C352" s="836"/>
      <c r="D352" s="836"/>
      <c r="E352" s="836"/>
      <c r="F352" s="836"/>
      <c r="G352" s="837"/>
    </row>
    <row r="353" spans="1:7">
      <c r="A353" s="84" t="s">
        <v>1903</v>
      </c>
      <c r="B353" s="84" t="s">
        <v>131</v>
      </c>
      <c r="C353" s="160" t="s">
        <v>1904</v>
      </c>
      <c r="D353" s="84" t="s">
        <v>167</v>
      </c>
      <c r="E353" s="85" t="s">
        <v>1905</v>
      </c>
      <c r="F353" s="86" t="s">
        <v>1906</v>
      </c>
      <c r="G353" s="86" t="s">
        <v>1907</v>
      </c>
    </row>
    <row r="354" spans="1:7">
      <c r="A354" s="87" t="s">
        <v>2</v>
      </c>
      <c r="B354" s="87">
        <v>2708</v>
      </c>
      <c r="C354" s="278" t="s">
        <v>1939</v>
      </c>
      <c r="D354" s="89" t="s">
        <v>137</v>
      </c>
      <c r="E354" s="88">
        <v>36</v>
      </c>
      <c r="F354" s="89">
        <v>128.32</v>
      </c>
      <c r="G354" s="89">
        <f>F354*E354</f>
        <v>4619.5199999999995</v>
      </c>
    </row>
    <row r="355" spans="1:7">
      <c r="A355" s="87"/>
      <c r="B355" s="87"/>
      <c r="C355" s="278"/>
      <c r="D355" s="89"/>
      <c r="E355" s="88"/>
      <c r="F355" s="89"/>
      <c r="G355" s="89"/>
    </row>
    <row r="356" spans="1:7">
      <c r="A356" s="832" t="s">
        <v>1908</v>
      </c>
      <c r="B356" s="833"/>
      <c r="C356" s="833"/>
      <c r="D356" s="833"/>
      <c r="E356" s="833"/>
      <c r="F356" s="834"/>
      <c r="G356" s="90">
        <f>SUM(G354:G355)</f>
        <v>4619.5199999999995</v>
      </c>
    </row>
    <row r="357" spans="1:7">
      <c r="A357" s="91"/>
      <c r="B357" s="92"/>
      <c r="C357" s="162"/>
      <c r="D357" s="92"/>
      <c r="E357" s="97"/>
      <c r="F357" s="98"/>
      <c r="G357" s="96"/>
    </row>
    <row r="358" spans="1:7">
      <c r="A358" s="835" t="s">
        <v>1912</v>
      </c>
      <c r="B358" s="836"/>
      <c r="C358" s="836"/>
      <c r="D358" s="836"/>
      <c r="E358" s="836"/>
      <c r="F358" s="836"/>
      <c r="G358" s="837"/>
    </row>
    <row r="359" spans="1:7">
      <c r="A359" s="84" t="s">
        <v>1903</v>
      </c>
      <c r="B359" s="84" t="s">
        <v>131</v>
      </c>
      <c r="C359" s="160" t="s">
        <v>1904</v>
      </c>
      <c r="D359" s="84" t="s">
        <v>167</v>
      </c>
      <c r="E359" s="85" t="s">
        <v>1905</v>
      </c>
      <c r="F359" s="86" t="s">
        <v>1906</v>
      </c>
      <c r="G359" s="86" t="s">
        <v>1907</v>
      </c>
    </row>
    <row r="360" spans="1:7">
      <c r="A360" s="87"/>
      <c r="B360" s="87"/>
      <c r="C360" s="278" t="s">
        <v>34</v>
      </c>
      <c r="D360" s="89" t="s">
        <v>34</v>
      </c>
      <c r="E360" s="88"/>
      <c r="F360" s="89" t="s">
        <v>34</v>
      </c>
      <c r="G360" s="89" t="s">
        <v>34</v>
      </c>
    </row>
    <row r="361" spans="1:7">
      <c r="A361" s="87"/>
      <c r="B361" s="87"/>
      <c r="C361" s="278" t="s">
        <v>34</v>
      </c>
      <c r="D361" s="89" t="s">
        <v>34</v>
      </c>
      <c r="E361" s="88"/>
      <c r="F361" s="89" t="s">
        <v>34</v>
      </c>
      <c r="G361" s="89" t="s">
        <v>34</v>
      </c>
    </row>
    <row r="362" spans="1:7">
      <c r="A362" s="832" t="s">
        <v>1908</v>
      </c>
      <c r="B362" s="833" t="s">
        <v>1908</v>
      </c>
      <c r="C362" s="833"/>
      <c r="D362" s="833"/>
      <c r="E362" s="833"/>
      <c r="F362" s="834"/>
      <c r="G362" s="90" t="s">
        <v>34</v>
      </c>
    </row>
    <row r="363" spans="1:7" ht="13.5" thickBot="1">
      <c r="A363" s="91"/>
      <c r="B363" s="92"/>
      <c r="C363" s="163"/>
      <c r="D363" s="99"/>
      <c r="E363" s="100"/>
      <c r="F363" s="101"/>
      <c r="G363" s="102"/>
    </row>
    <row r="364" spans="1:7" ht="13.5" thickBot="1">
      <c r="A364" s="838" t="s">
        <v>1259</v>
      </c>
      <c r="B364" s="839"/>
      <c r="C364" s="839"/>
      <c r="D364" s="839"/>
      <c r="E364" s="839"/>
      <c r="F364" s="840"/>
      <c r="G364" s="103">
        <f>SUM(G362,G356,G350)</f>
        <v>11734.07</v>
      </c>
    </row>
    <row r="366" spans="1:7">
      <c r="A366" s="237" t="s">
        <v>131</v>
      </c>
      <c r="B366" s="190" t="s">
        <v>27</v>
      </c>
      <c r="C366" s="841" t="s">
        <v>1281</v>
      </c>
      <c r="D366" s="841"/>
      <c r="E366" s="841"/>
      <c r="F366" s="841"/>
      <c r="G366" s="81" t="s">
        <v>127</v>
      </c>
    </row>
    <row r="367" spans="1:7" ht="29.25" customHeight="1">
      <c r="A367" s="179" t="s">
        <v>388</v>
      </c>
      <c r="B367" s="82"/>
      <c r="C367" s="830" t="s">
        <v>389</v>
      </c>
      <c r="D367" s="831"/>
      <c r="E367" s="831"/>
      <c r="F367" s="186">
        <f>G386</f>
        <v>3051.46</v>
      </c>
      <c r="G367" s="83" t="s">
        <v>163</v>
      </c>
    </row>
    <row r="368" spans="1:7">
      <c r="A368" s="818" t="s">
        <v>1902</v>
      </c>
      <c r="B368" s="819"/>
      <c r="C368" s="819"/>
      <c r="D368" s="819"/>
      <c r="E368" s="819"/>
      <c r="F368" s="819"/>
      <c r="G368" s="820"/>
    </row>
    <row r="369" spans="1:7">
      <c r="A369" s="84" t="s">
        <v>1903</v>
      </c>
      <c r="B369" s="84" t="s">
        <v>131</v>
      </c>
      <c r="C369" s="160" t="s">
        <v>1904</v>
      </c>
      <c r="D369" s="84" t="s">
        <v>167</v>
      </c>
      <c r="E369" s="85" t="s">
        <v>1905</v>
      </c>
      <c r="F369" s="86" t="s">
        <v>1906</v>
      </c>
      <c r="G369" s="86" t="s">
        <v>1907</v>
      </c>
    </row>
    <row r="370" spans="1:7">
      <c r="A370" s="87" t="s">
        <v>1917</v>
      </c>
      <c r="B370" s="187" t="str">
        <f>'Mapa Cotações'!A169</f>
        <v>COT-0176</v>
      </c>
      <c r="C370" s="278" t="s">
        <v>1940</v>
      </c>
      <c r="D370" s="89" t="s">
        <v>163</v>
      </c>
      <c r="E370" s="88">
        <v>1</v>
      </c>
      <c r="F370" s="89">
        <f>'Mapa Cotações'!M169</f>
        <v>2024.9</v>
      </c>
      <c r="G370" s="89">
        <f>F370*E370</f>
        <v>2024.9</v>
      </c>
    </row>
    <row r="371" spans="1:7">
      <c r="A371" s="87"/>
      <c r="B371" s="87"/>
      <c r="C371" s="278" t="s">
        <v>34</v>
      </c>
      <c r="D371" s="89" t="s">
        <v>34</v>
      </c>
      <c r="E371" s="88"/>
      <c r="F371" s="89" t="s">
        <v>34</v>
      </c>
      <c r="G371" s="89" t="s">
        <v>34</v>
      </c>
    </row>
    <row r="372" spans="1:7">
      <c r="A372" s="832" t="s">
        <v>1908</v>
      </c>
      <c r="B372" s="833"/>
      <c r="C372" s="833"/>
      <c r="D372" s="833"/>
      <c r="E372" s="833"/>
      <c r="F372" s="834"/>
      <c r="G372" s="90">
        <f>SUM(G370:G371)</f>
        <v>2024.9</v>
      </c>
    </row>
    <row r="373" spans="1:7">
      <c r="A373" s="91"/>
      <c r="B373" s="92"/>
      <c r="C373" s="161"/>
      <c r="D373" s="93"/>
      <c r="E373" s="94"/>
      <c r="F373" s="95"/>
      <c r="G373" s="96"/>
    </row>
    <row r="374" spans="1:7">
      <c r="A374" s="835" t="s">
        <v>1909</v>
      </c>
      <c r="B374" s="836"/>
      <c r="C374" s="836"/>
      <c r="D374" s="836"/>
      <c r="E374" s="836"/>
      <c r="F374" s="836"/>
      <c r="G374" s="837"/>
    </row>
    <row r="375" spans="1:7">
      <c r="A375" s="84" t="s">
        <v>1903</v>
      </c>
      <c r="B375" s="84" t="s">
        <v>131</v>
      </c>
      <c r="C375" s="160" t="s">
        <v>1904</v>
      </c>
      <c r="D375" s="84" t="s">
        <v>167</v>
      </c>
      <c r="E375" s="85" t="s">
        <v>1905</v>
      </c>
      <c r="F375" s="86" t="s">
        <v>1906</v>
      </c>
      <c r="G375" s="86" t="s">
        <v>1907</v>
      </c>
    </row>
    <row r="376" spans="1:7">
      <c r="A376" s="87" t="s">
        <v>2</v>
      </c>
      <c r="B376" s="87">
        <v>2708</v>
      </c>
      <c r="C376" s="278" t="s">
        <v>1939</v>
      </c>
      <c r="D376" s="89" t="s">
        <v>137</v>
      </c>
      <c r="E376" s="88">
        <v>8</v>
      </c>
      <c r="F376" s="89">
        <v>128.32</v>
      </c>
      <c r="G376" s="89">
        <f>F376*E376</f>
        <v>1026.56</v>
      </c>
    </row>
    <row r="377" spans="1:7">
      <c r="A377" s="87"/>
      <c r="B377" s="87"/>
      <c r="C377" s="278"/>
      <c r="D377" s="89"/>
      <c r="E377" s="88"/>
      <c r="F377" s="89"/>
      <c r="G377" s="89"/>
    </row>
    <row r="378" spans="1:7">
      <c r="A378" s="832" t="s">
        <v>1908</v>
      </c>
      <c r="B378" s="833"/>
      <c r="C378" s="833"/>
      <c r="D378" s="833"/>
      <c r="E378" s="833"/>
      <c r="F378" s="834"/>
      <c r="G378" s="90">
        <f>SUM(G376:G377)</f>
        <v>1026.56</v>
      </c>
    </row>
    <row r="379" spans="1:7">
      <c r="A379" s="91"/>
      <c r="B379" s="92"/>
      <c r="C379" s="162"/>
      <c r="D379" s="92"/>
      <c r="E379" s="97"/>
      <c r="F379" s="98"/>
      <c r="G379" s="96"/>
    </row>
    <row r="380" spans="1:7">
      <c r="A380" s="835" t="s">
        <v>1912</v>
      </c>
      <c r="B380" s="836"/>
      <c r="C380" s="836"/>
      <c r="D380" s="836"/>
      <c r="E380" s="836"/>
      <c r="F380" s="836"/>
      <c r="G380" s="837"/>
    </row>
    <row r="381" spans="1:7">
      <c r="A381" s="84" t="s">
        <v>1903</v>
      </c>
      <c r="B381" s="84" t="s">
        <v>131</v>
      </c>
      <c r="C381" s="160" t="s">
        <v>1904</v>
      </c>
      <c r="D381" s="84" t="s">
        <v>167</v>
      </c>
      <c r="E381" s="85" t="s">
        <v>1905</v>
      </c>
      <c r="F381" s="86" t="s">
        <v>1906</v>
      </c>
      <c r="G381" s="86" t="s">
        <v>1907</v>
      </c>
    </row>
    <row r="382" spans="1:7">
      <c r="A382" s="87"/>
      <c r="B382" s="87"/>
      <c r="C382" s="278" t="s">
        <v>34</v>
      </c>
      <c r="D382" s="89" t="s">
        <v>34</v>
      </c>
      <c r="E382" s="88"/>
      <c r="F382" s="89" t="s">
        <v>34</v>
      </c>
      <c r="G382" s="89" t="s">
        <v>34</v>
      </c>
    </row>
    <row r="383" spans="1:7">
      <c r="A383" s="87"/>
      <c r="B383" s="87"/>
      <c r="C383" s="278" t="s">
        <v>34</v>
      </c>
      <c r="D383" s="89" t="s">
        <v>34</v>
      </c>
      <c r="E383" s="88"/>
      <c r="F383" s="89" t="s">
        <v>34</v>
      </c>
      <c r="G383" s="89" t="s">
        <v>34</v>
      </c>
    </row>
    <row r="384" spans="1:7">
      <c r="A384" s="832" t="s">
        <v>1908</v>
      </c>
      <c r="B384" s="833" t="s">
        <v>1908</v>
      </c>
      <c r="C384" s="833"/>
      <c r="D384" s="833"/>
      <c r="E384" s="833"/>
      <c r="F384" s="834"/>
      <c r="G384" s="90" t="s">
        <v>34</v>
      </c>
    </row>
    <row r="385" spans="1:11" ht="13.5" thickBot="1">
      <c r="A385" s="91"/>
      <c r="B385" s="92"/>
      <c r="C385" s="163"/>
      <c r="D385" s="99"/>
      <c r="E385" s="100"/>
      <c r="F385" s="101"/>
      <c r="G385" s="102"/>
    </row>
    <row r="386" spans="1:11" ht="13.5" thickBot="1">
      <c r="A386" s="838" t="s">
        <v>1259</v>
      </c>
      <c r="B386" s="839"/>
      <c r="C386" s="839"/>
      <c r="D386" s="839"/>
      <c r="E386" s="839"/>
      <c r="F386" s="840"/>
      <c r="G386" s="103">
        <f>SUM(G384,G378,G372)</f>
        <v>3051.46</v>
      </c>
    </row>
    <row r="389" spans="1:11">
      <c r="A389" s="237" t="s">
        <v>131</v>
      </c>
      <c r="B389" s="190" t="s">
        <v>27</v>
      </c>
      <c r="C389" s="841" t="s">
        <v>1281</v>
      </c>
      <c r="D389" s="841"/>
      <c r="E389" s="841"/>
      <c r="F389" s="841"/>
      <c r="G389" s="81" t="s">
        <v>127</v>
      </c>
      <c r="I389" s="480" t="s">
        <v>1901</v>
      </c>
      <c r="J389" s="80"/>
      <c r="K389" s="80"/>
    </row>
    <row r="390" spans="1:11" ht="99.75" customHeight="1">
      <c r="A390" s="179" t="s">
        <v>398</v>
      </c>
      <c r="B390" s="82"/>
      <c r="C390" s="830" t="s">
        <v>3038</v>
      </c>
      <c r="D390" s="831"/>
      <c r="E390" s="831"/>
      <c r="F390" s="186">
        <f>G413</f>
        <v>71847.284770000013</v>
      </c>
      <c r="G390" s="83"/>
      <c r="I390" s="481"/>
      <c r="J390" s="272"/>
      <c r="K390" s="272"/>
    </row>
    <row r="391" spans="1:11">
      <c r="A391" s="818" t="s">
        <v>1902</v>
      </c>
      <c r="B391" s="819"/>
      <c r="C391" s="819"/>
      <c r="D391" s="819"/>
      <c r="E391" s="819"/>
      <c r="F391" s="819"/>
      <c r="G391" s="820"/>
    </row>
    <row r="392" spans="1:11">
      <c r="A392" s="84" t="s">
        <v>1903</v>
      </c>
      <c r="B392" s="84" t="s">
        <v>131</v>
      </c>
      <c r="C392" s="160" t="s">
        <v>1904</v>
      </c>
      <c r="D392" s="84" t="s">
        <v>167</v>
      </c>
      <c r="E392" s="85" t="s">
        <v>1905</v>
      </c>
      <c r="F392" s="86" t="s">
        <v>1906</v>
      </c>
      <c r="G392" s="86" t="s">
        <v>1907</v>
      </c>
    </row>
    <row r="393" spans="1:11" ht="120">
      <c r="A393" s="87" t="s">
        <v>1917</v>
      </c>
      <c r="B393" s="87" t="s">
        <v>1941</v>
      </c>
      <c r="C393" s="278" t="s">
        <v>399</v>
      </c>
      <c r="D393" s="89" t="s">
        <v>167</v>
      </c>
      <c r="E393" s="88">
        <v>1</v>
      </c>
      <c r="F393" s="89">
        <f>'Mapa Cotações'!M23</f>
        <v>71650</v>
      </c>
      <c r="G393" s="89">
        <f>F393</f>
        <v>71650</v>
      </c>
    </row>
    <row r="394" spans="1:11" ht="36">
      <c r="A394" s="636" t="s">
        <v>2</v>
      </c>
      <c r="B394" s="636">
        <v>11267</v>
      </c>
      <c r="C394" s="661" t="s">
        <v>1942</v>
      </c>
      <c r="D394" s="638" t="s">
        <v>1930</v>
      </c>
      <c r="E394" s="637">
        <v>4</v>
      </c>
      <c r="F394" s="638">
        <v>1.56</v>
      </c>
      <c r="G394" s="638">
        <v>6.24</v>
      </c>
    </row>
    <row r="395" spans="1:11">
      <c r="A395" s="636" t="s">
        <v>2</v>
      </c>
      <c r="B395" s="636">
        <v>39996</v>
      </c>
      <c r="C395" s="661" t="s">
        <v>1943</v>
      </c>
      <c r="D395" s="638" t="s">
        <v>1944</v>
      </c>
      <c r="E395" s="637">
        <v>0.2</v>
      </c>
      <c r="F395" s="638">
        <v>3.19</v>
      </c>
      <c r="G395" s="638">
        <v>0.63800000000000001</v>
      </c>
    </row>
    <row r="396" spans="1:11">
      <c r="A396" s="636" t="s">
        <v>2</v>
      </c>
      <c r="B396" s="636">
        <v>39997</v>
      </c>
      <c r="C396" s="661" t="s">
        <v>1945</v>
      </c>
      <c r="D396" s="638" t="s">
        <v>1930</v>
      </c>
      <c r="E396" s="637">
        <v>4</v>
      </c>
      <c r="F396" s="638">
        <v>0.41</v>
      </c>
      <c r="G396" s="638">
        <v>1.64</v>
      </c>
    </row>
    <row r="397" spans="1:11">
      <c r="A397" s="832" t="s">
        <v>1908</v>
      </c>
      <c r="B397" s="833"/>
      <c r="C397" s="833"/>
      <c r="D397" s="833"/>
      <c r="E397" s="833"/>
      <c r="F397" s="834"/>
      <c r="G397" s="90">
        <f>SUM(G393:G396)</f>
        <v>71658.518000000011</v>
      </c>
    </row>
    <row r="398" spans="1:11">
      <c r="A398" s="91"/>
      <c r="B398" s="92"/>
      <c r="C398" s="161"/>
      <c r="D398" s="93"/>
      <c r="E398" s="94"/>
      <c r="F398" s="95"/>
      <c r="G398" s="96"/>
    </row>
    <row r="399" spans="1:11">
      <c r="A399" s="835" t="s">
        <v>1909</v>
      </c>
      <c r="B399" s="836"/>
      <c r="C399" s="836"/>
      <c r="D399" s="836"/>
      <c r="E399" s="836"/>
      <c r="F399" s="836"/>
      <c r="G399" s="837"/>
    </row>
    <row r="400" spans="1:11">
      <c r="A400" s="84" t="s">
        <v>1903</v>
      </c>
      <c r="B400" s="84" t="s">
        <v>131</v>
      </c>
      <c r="C400" s="160" t="s">
        <v>1904</v>
      </c>
      <c r="D400" s="84" t="s">
        <v>167</v>
      </c>
      <c r="E400" s="85" t="s">
        <v>1905</v>
      </c>
      <c r="F400" s="86" t="s">
        <v>1906</v>
      </c>
      <c r="G400" s="86" t="s">
        <v>1907</v>
      </c>
    </row>
    <row r="401" spans="1:7" ht="24">
      <c r="A401" s="636" t="s">
        <v>2</v>
      </c>
      <c r="B401" s="636">
        <v>88247</v>
      </c>
      <c r="C401" s="661" t="s">
        <v>1911</v>
      </c>
      <c r="D401" s="638" t="s">
        <v>137</v>
      </c>
      <c r="E401" s="637" t="s">
        <v>1946</v>
      </c>
      <c r="F401" s="638">
        <v>22.48</v>
      </c>
      <c r="G401" s="638">
        <f>F401*E401</f>
        <v>14.229840000000001</v>
      </c>
    </row>
    <row r="402" spans="1:7" ht="24">
      <c r="A402" s="636" t="s">
        <v>2</v>
      </c>
      <c r="B402" s="636">
        <v>88248</v>
      </c>
      <c r="C402" s="661" t="s">
        <v>1947</v>
      </c>
      <c r="D402" s="638" t="s">
        <v>137</v>
      </c>
      <c r="E402" s="637" t="s">
        <v>1948</v>
      </c>
      <c r="F402" s="638">
        <v>21.45</v>
      </c>
      <c r="G402" s="638">
        <f>F402*E402</f>
        <v>70.549049999999994</v>
      </c>
    </row>
    <row r="403" spans="1:7">
      <c r="A403" s="636" t="s">
        <v>2</v>
      </c>
      <c r="B403" s="636">
        <v>88264</v>
      </c>
      <c r="C403" s="661" t="s">
        <v>1910</v>
      </c>
      <c r="D403" s="638" t="s">
        <v>137</v>
      </c>
      <c r="E403" s="637" t="s">
        <v>1946</v>
      </c>
      <c r="F403" s="638">
        <v>27.47</v>
      </c>
      <c r="G403" s="638">
        <f>F403*E403</f>
        <v>17.38851</v>
      </c>
    </row>
    <row r="404" spans="1:7" ht="24">
      <c r="A404" s="636" t="s">
        <v>2</v>
      </c>
      <c r="B404" s="636">
        <v>88267</v>
      </c>
      <c r="C404" s="661" t="s">
        <v>1949</v>
      </c>
      <c r="D404" s="638" t="s">
        <v>137</v>
      </c>
      <c r="E404" s="637" t="s">
        <v>1948</v>
      </c>
      <c r="F404" s="638">
        <v>26.33</v>
      </c>
      <c r="G404" s="638">
        <f>F404*E404</f>
        <v>86.599369999999993</v>
      </c>
    </row>
    <row r="405" spans="1:7">
      <c r="A405" s="832" t="s">
        <v>1908</v>
      </c>
      <c r="B405" s="833"/>
      <c r="C405" s="833"/>
      <c r="D405" s="833"/>
      <c r="E405" s="833"/>
      <c r="F405" s="834"/>
      <c r="G405" s="90">
        <f>SUM(G401:G404)</f>
        <v>188.76676999999998</v>
      </c>
    </row>
    <row r="406" spans="1:7">
      <c r="A406" s="91"/>
      <c r="B406" s="92"/>
      <c r="C406" s="162"/>
      <c r="D406" s="92"/>
      <c r="E406" s="97"/>
      <c r="F406" s="98"/>
      <c r="G406" s="96"/>
    </row>
    <row r="407" spans="1:7">
      <c r="A407" s="835" t="s">
        <v>1912</v>
      </c>
      <c r="B407" s="836"/>
      <c r="C407" s="836"/>
      <c r="D407" s="836"/>
      <c r="E407" s="836"/>
      <c r="F407" s="836"/>
      <c r="G407" s="837"/>
    </row>
    <row r="408" spans="1:7">
      <c r="A408" s="84" t="s">
        <v>1903</v>
      </c>
      <c r="B408" s="84" t="s">
        <v>131</v>
      </c>
      <c r="C408" s="160" t="s">
        <v>1904</v>
      </c>
      <c r="D408" s="84" t="s">
        <v>167</v>
      </c>
      <c r="E408" s="85" t="s">
        <v>1905</v>
      </c>
      <c r="F408" s="86" t="s">
        <v>1906</v>
      </c>
      <c r="G408" s="86" t="s">
        <v>1907</v>
      </c>
    </row>
    <row r="409" spans="1:7">
      <c r="A409" s="87"/>
      <c r="B409" s="87"/>
      <c r="C409" s="278" t="s">
        <v>34</v>
      </c>
      <c r="D409" s="89" t="s">
        <v>34</v>
      </c>
      <c r="E409" s="88"/>
      <c r="F409" s="89" t="s">
        <v>34</v>
      </c>
      <c r="G409" s="89" t="s">
        <v>34</v>
      </c>
    </row>
    <row r="410" spans="1:7">
      <c r="A410" s="87"/>
      <c r="B410" s="87"/>
      <c r="C410" s="278" t="s">
        <v>34</v>
      </c>
      <c r="D410" s="89" t="s">
        <v>34</v>
      </c>
      <c r="E410" s="88"/>
      <c r="F410" s="89" t="s">
        <v>34</v>
      </c>
      <c r="G410" s="89" t="s">
        <v>34</v>
      </c>
    </row>
    <row r="411" spans="1:7">
      <c r="A411" s="832" t="s">
        <v>1908</v>
      </c>
      <c r="B411" s="833" t="s">
        <v>1908</v>
      </c>
      <c r="C411" s="833"/>
      <c r="D411" s="833"/>
      <c r="E411" s="833"/>
      <c r="F411" s="834"/>
      <c r="G411" s="90" t="s">
        <v>34</v>
      </c>
    </row>
    <row r="412" spans="1:7" ht="13.5" thickBot="1">
      <c r="A412" s="91"/>
      <c r="B412" s="92"/>
      <c r="C412" s="163"/>
      <c r="D412" s="99"/>
      <c r="E412" s="100"/>
      <c r="F412" s="101"/>
      <c r="G412" s="102"/>
    </row>
    <row r="413" spans="1:7" ht="13.5" thickBot="1">
      <c r="A413" s="838" t="s">
        <v>1259</v>
      </c>
      <c r="B413" s="839"/>
      <c r="C413" s="839"/>
      <c r="D413" s="839"/>
      <c r="E413" s="839"/>
      <c r="F413" s="840"/>
      <c r="G413" s="103">
        <f>G405+G397</f>
        <v>71847.284770000013</v>
      </c>
    </row>
    <row r="415" spans="1:7" hidden="1">
      <c r="A415" s="660"/>
      <c r="B415" s="653"/>
      <c r="C415" s="815"/>
      <c r="D415" s="815"/>
      <c r="E415" s="815"/>
      <c r="F415" s="815"/>
      <c r="G415" s="632"/>
    </row>
    <row r="416" spans="1:7" hidden="1">
      <c r="A416" s="179"/>
      <c r="B416" s="82"/>
      <c r="C416" s="830"/>
      <c r="D416" s="831"/>
      <c r="E416" s="831"/>
      <c r="F416" s="186"/>
      <c r="G416" s="83"/>
    </row>
    <row r="417" spans="1:7" hidden="1">
      <c r="A417" s="818"/>
      <c r="B417" s="819"/>
      <c r="C417" s="819"/>
      <c r="D417" s="819"/>
      <c r="E417" s="819"/>
      <c r="F417" s="819"/>
      <c r="G417" s="820"/>
    </row>
    <row r="418" spans="1:7" hidden="1">
      <c r="A418" s="633"/>
      <c r="B418" s="633"/>
      <c r="C418" s="649"/>
      <c r="D418" s="633"/>
      <c r="E418" s="634"/>
      <c r="F418" s="635"/>
      <c r="G418" s="635"/>
    </row>
    <row r="419" spans="1:7" hidden="1">
      <c r="A419" s="636"/>
      <c r="B419" s="636"/>
      <c r="C419" s="661"/>
      <c r="D419" s="638"/>
      <c r="E419" s="637"/>
      <c r="F419" s="638"/>
      <c r="G419" s="638"/>
    </row>
    <row r="420" spans="1:7" hidden="1">
      <c r="A420" s="636"/>
      <c r="B420" s="636"/>
      <c r="C420" s="661"/>
      <c r="D420" s="638"/>
      <c r="E420" s="637"/>
      <c r="F420" s="638"/>
      <c r="G420" s="638"/>
    </row>
    <row r="421" spans="1:7" hidden="1">
      <c r="A421" s="636"/>
      <c r="B421" s="636"/>
      <c r="C421" s="661"/>
      <c r="D421" s="638"/>
      <c r="E421" s="637"/>
      <c r="F421" s="638"/>
      <c r="G421" s="638"/>
    </row>
    <row r="422" spans="1:7" hidden="1">
      <c r="A422" s="821"/>
      <c r="B422" s="822"/>
      <c r="C422" s="822"/>
      <c r="D422" s="822"/>
      <c r="E422" s="822"/>
      <c r="F422" s="823"/>
      <c r="G422" s="613"/>
    </row>
    <row r="423" spans="1:7" hidden="1">
      <c r="A423" s="639"/>
      <c r="B423" s="640"/>
      <c r="C423" s="161"/>
      <c r="D423" s="93"/>
      <c r="E423" s="94"/>
      <c r="F423" s="95"/>
      <c r="G423" s="641"/>
    </row>
    <row r="424" spans="1:7" hidden="1">
      <c r="A424" s="824"/>
      <c r="B424" s="825"/>
      <c r="C424" s="825"/>
      <c r="D424" s="825"/>
      <c r="E424" s="825"/>
      <c r="F424" s="825"/>
      <c r="G424" s="826"/>
    </row>
    <row r="425" spans="1:7" hidden="1">
      <c r="A425" s="633"/>
      <c r="B425" s="633"/>
      <c r="C425" s="649"/>
      <c r="D425" s="633"/>
      <c r="E425" s="634"/>
      <c r="F425" s="635"/>
      <c r="G425" s="635"/>
    </row>
    <row r="426" spans="1:7" hidden="1">
      <c r="A426" s="636"/>
      <c r="B426" s="636"/>
      <c r="C426" s="661"/>
      <c r="D426" s="638"/>
      <c r="E426" s="637"/>
      <c r="F426" s="638"/>
      <c r="G426" s="638"/>
    </row>
    <row r="427" spans="1:7" hidden="1">
      <c r="A427" s="636"/>
      <c r="B427" s="636"/>
      <c r="C427" s="661"/>
      <c r="D427" s="638"/>
      <c r="E427" s="637"/>
      <c r="F427" s="638"/>
      <c r="G427" s="638"/>
    </row>
    <row r="428" spans="1:7" hidden="1">
      <c r="A428" s="636"/>
      <c r="B428" s="636"/>
      <c r="C428" s="661"/>
      <c r="D428" s="638"/>
      <c r="E428" s="637"/>
      <c r="F428" s="638"/>
      <c r="G428" s="638"/>
    </row>
    <row r="429" spans="1:7" hidden="1">
      <c r="A429" s="636"/>
      <c r="B429" s="636"/>
      <c r="C429" s="661"/>
      <c r="D429" s="638"/>
      <c r="E429" s="637"/>
      <c r="F429" s="638"/>
      <c r="G429" s="638"/>
    </row>
    <row r="430" spans="1:7" hidden="1">
      <c r="A430" s="821"/>
      <c r="B430" s="822"/>
      <c r="C430" s="822"/>
      <c r="D430" s="822"/>
      <c r="E430" s="822"/>
      <c r="F430" s="823"/>
      <c r="G430" s="613"/>
    </row>
    <row r="431" spans="1:7" hidden="1">
      <c r="A431" s="639"/>
      <c r="B431" s="640"/>
      <c r="C431" s="650"/>
      <c r="D431" s="640"/>
      <c r="E431" s="642"/>
      <c r="F431" s="643"/>
      <c r="G431" s="641"/>
    </row>
    <row r="432" spans="1:7" hidden="1">
      <c r="A432" s="824"/>
      <c r="B432" s="825"/>
      <c r="C432" s="825"/>
      <c r="D432" s="825"/>
      <c r="E432" s="825"/>
      <c r="F432" s="825"/>
      <c r="G432" s="826"/>
    </row>
    <row r="433" spans="1:11" hidden="1">
      <c r="A433" s="633"/>
      <c r="B433" s="633"/>
      <c r="C433" s="649"/>
      <c r="D433" s="633"/>
      <c r="E433" s="634"/>
      <c r="F433" s="635"/>
      <c r="G433" s="635"/>
    </row>
    <row r="434" spans="1:11" hidden="1">
      <c r="A434" s="636"/>
      <c r="B434" s="636"/>
      <c r="C434" s="661"/>
      <c r="D434" s="638"/>
      <c r="E434" s="637"/>
      <c r="F434" s="638"/>
      <c r="G434" s="638"/>
    </row>
    <row r="435" spans="1:11" hidden="1">
      <c r="A435" s="636"/>
      <c r="B435" s="636"/>
      <c r="C435" s="661"/>
      <c r="D435" s="638"/>
      <c r="E435" s="637"/>
      <c r="F435" s="638"/>
      <c r="G435" s="638"/>
    </row>
    <row r="436" spans="1:11" hidden="1">
      <c r="A436" s="821"/>
      <c r="B436" s="822"/>
      <c r="C436" s="822"/>
      <c r="D436" s="822"/>
      <c r="E436" s="822"/>
      <c r="F436" s="823"/>
      <c r="G436" s="613"/>
    </row>
    <row r="437" spans="1:11" ht="13.5" hidden="1" thickBot="1">
      <c r="A437" s="639"/>
      <c r="B437" s="640"/>
      <c r="C437" s="651"/>
      <c r="D437" s="644"/>
      <c r="E437" s="645"/>
      <c r="F437" s="646"/>
      <c r="G437" s="647"/>
    </row>
    <row r="438" spans="1:11" ht="13.5" hidden="1" thickBot="1">
      <c r="A438" s="827"/>
      <c r="B438" s="828"/>
      <c r="C438" s="828"/>
      <c r="D438" s="828"/>
      <c r="E438" s="828"/>
      <c r="F438" s="829"/>
      <c r="G438" s="103"/>
    </row>
    <row r="439" spans="1:11" hidden="1"/>
    <row r="441" spans="1:11">
      <c r="A441" s="237" t="s">
        <v>131</v>
      </c>
      <c r="B441" s="190" t="s">
        <v>27</v>
      </c>
      <c r="C441" s="841" t="s">
        <v>1281</v>
      </c>
      <c r="D441" s="841"/>
      <c r="E441" s="841"/>
      <c r="F441" s="841"/>
      <c r="G441" s="81" t="s">
        <v>127</v>
      </c>
      <c r="I441" s="480" t="s">
        <v>1901</v>
      </c>
      <c r="J441" s="80"/>
      <c r="K441" s="80"/>
    </row>
    <row r="442" spans="1:11" ht="96" customHeight="1">
      <c r="A442" s="179" t="s">
        <v>401</v>
      </c>
      <c r="B442" s="82"/>
      <c r="C442" s="830" t="s">
        <v>3039</v>
      </c>
      <c r="D442" s="831"/>
      <c r="E442" s="831"/>
      <c r="F442" s="186">
        <f>G465</f>
        <v>32997.284769999998</v>
      </c>
      <c r="G442" s="83"/>
      <c r="I442" s="481"/>
      <c r="J442" s="272"/>
      <c r="K442" s="272"/>
    </row>
    <row r="443" spans="1:11">
      <c r="A443" s="818" t="s">
        <v>1902</v>
      </c>
      <c r="B443" s="819"/>
      <c r="C443" s="819"/>
      <c r="D443" s="819"/>
      <c r="E443" s="819"/>
      <c r="F443" s="819"/>
      <c r="G443" s="820"/>
    </row>
    <row r="444" spans="1:11">
      <c r="A444" s="84" t="s">
        <v>1903</v>
      </c>
      <c r="B444" s="84" t="s">
        <v>131</v>
      </c>
      <c r="C444" s="160" t="s">
        <v>1904</v>
      </c>
      <c r="D444" s="84" t="s">
        <v>167</v>
      </c>
      <c r="E444" s="85" t="s">
        <v>1905</v>
      </c>
      <c r="F444" s="86" t="s">
        <v>1906</v>
      </c>
      <c r="G444" s="86" t="s">
        <v>1907</v>
      </c>
    </row>
    <row r="445" spans="1:11" ht="120">
      <c r="A445" s="87" t="s">
        <v>1917</v>
      </c>
      <c r="B445" s="87" t="s">
        <v>1950</v>
      </c>
      <c r="C445" s="278" t="s">
        <v>402</v>
      </c>
      <c r="D445" s="89" t="s">
        <v>167</v>
      </c>
      <c r="E445" s="88">
        <v>1</v>
      </c>
      <c r="F445" s="89">
        <f>'Mapa Cotações'!M24</f>
        <v>32800</v>
      </c>
      <c r="G445" s="89">
        <v>32800</v>
      </c>
    </row>
    <row r="446" spans="1:11" ht="36">
      <c r="A446" s="636" t="s">
        <v>2</v>
      </c>
      <c r="B446" s="636">
        <v>11267</v>
      </c>
      <c r="C446" s="661" t="s">
        <v>1942</v>
      </c>
      <c r="D446" s="638" t="s">
        <v>1930</v>
      </c>
      <c r="E446" s="637">
        <v>4</v>
      </c>
      <c r="F446" s="638">
        <v>1.56</v>
      </c>
      <c r="G446" s="638">
        <v>6.24</v>
      </c>
    </row>
    <row r="447" spans="1:11">
      <c r="A447" s="636" t="s">
        <v>2</v>
      </c>
      <c r="B447" s="636">
        <v>39996</v>
      </c>
      <c r="C447" s="661" t="s">
        <v>1943</v>
      </c>
      <c r="D447" s="638" t="s">
        <v>1944</v>
      </c>
      <c r="E447" s="637">
        <v>0.2</v>
      </c>
      <c r="F447" s="638">
        <v>3.19</v>
      </c>
      <c r="G447" s="638">
        <v>0.63800000000000001</v>
      </c>
    </row>
    <row r="448" spans="1:11">
      <c r="A448" s="636" t="s">
        <v>2</v>
      </c>
      <c r="B448" s="636">
        <v>39997</v>
      </c>
      <c r="C448" s="661" t="s">
        <v>1945</v>
      </c>
      <c r="D448" s="638" t="s">
        <v>1930</v>
      </c>
      <c r="E448" s="637">
        <v>4</v>
      </c>
      <c r="F448" s="638">
        <v>0.41</v>
      </c>
      <c r="G448" s="638">
        <v>1.64</v>
      </c>
    </row>
    <row r="449" spans="1:7">
      <c r="A449" s="832" t="s">
        <v>1908</v>
      </c>
      <c r="B449" s="833"/>
      <c r="C449" s="833"/>
      <c r="D449" s="833"/>
      <c r="E449" s="833"/>
      <c r="F449" s="834"/>
      <c r="G449" s="90">
        <f>SUM(G445:I448)</f>
        <v>32808.517999999996</v>
      </c>
    </row>
    <row r="450" spans="1:7">
      <c r="A450" s="91"/>
      <c r="B450" s="92"/>
      <c r="C450" s="161"/>
      <c r="D450" s="93"/>
      <c r="E450" s="94"/>
      <c r="F450" s="95"/>
      <c r="G450" s="96"/>
    </row>
    <row r="451" spans="1:7">
      <c r="A451" s="835" t="s">
        <v>1909</v>
      </c>
      <c r="B451" s="836"/>
      <c r="C451" s="836"/>
      <c r="D451" s="836"/>
      <c r="E451" s="836"/>
      <c r="F451" s="836"/>
      <c r="G451" s="837"/>
    </row>
    <row r="452" spans="1:7">
      <c r="A452" s="84" t="s">
        <v>1903</v>
      </c>
      <c r="B452" s="84" t="s">
        <v>131</v>
      </c>
      <c r="C452" s="160" t="s">
        <v>1904</v>
      </c>
      <c r="D452" s="84" t="s">
        <v>167</v>
      </c>
      <c r="E452" s="85" t="s">
        <v>1905</v>
      </c>
      <c r="F452" s="86" t="s">
        <v>1906</v>
      </c>
      <c r="G452" s="86" t="s">
        <v>1907</v>
      </c>
    </row>
    <row r="453" spans="1:7" ht="24">
      <c r="A453" s="636" t="s">
        <v>2</v>
      </c>
      <c r="B453" s="636">
        <v>88247</v>
      </c>
      <c r="C453" s="661" t="s">
        <v>1911</v>
      </c>
      <c r="D453" s="638" t="s">
        <v>137</v>
      </c>
      <c r="E453" s="637" t="s">
        <v>1946</v>
      </c>
      <c r="F453" s="638">
        <v>22.48</v>
      </c>
      <c r="G453" s="638">
        <f>F453*E453</f>
        <v>14.229840000000001</v>
      </c>
    </row>
    <row r="454" spans="1:7" ht="24">
      <c r="A454" s="636" t="s">
        <v>2</v>
      </c>
      <c r="B454" s="636">
        <v>88248</v>
      </c>
      <c r="C454" s="661" t="s">
        <v>1947</v>
      </c>
      <c r="D454" s="638" t="s">
        <v>137</v>
      </c>
      <c r="E454" s="637" t="s">
        <v>1948</v>
      </c>
      <c r="F454" s="638">
        <v>21.45</v>
      </c>
      <c r="G454" s="638">
        <f>F454*E454</f>
        <v>70.549049999999994</v>
      </c>
    </row>
    <row r="455" spans="1:7">
      <c r="A455" s="636" t="s">
        <v>2</v>
      </c>
      <c r="B455" s="636">
        <v>88264</v>
      </c>
      <c r="C455" s="661" t="s">
        <v>1910</v>
      </c>
      <c r="D455" s="638" t="s">
        <v>137</v>
      </c>
      <c r="E455" s="637" t="s">
        <v>1946</v>
      </c>
      <c r="F455" s="638">
        <v>27.47</v>
      </c>
      <c r="G455" s="638">
        <f>F455*E455</f>
        <v>17.38851</v>
      </c>
    </row>
    <row r="456" spans="1:7" ht="24">
      <c r="A456" s="636" t="s">
        <v>2</v>
      </c>
      <c r="B456" s="636">
        <v>88267</v>
      </c>
      <c r="C456" s="661" t="s">
        <v>1949</v>
      </c>
      <c r="D456" s="638" t="s">
        <v>137</v>
      </c>
      <c r="E456" s="637" t="s">
        <v>1948</v>
      </c>
      <c r="F456" s="638">
        <v>26.33</v>
      </c>
      <c r="G456" s="638">
        <f>F456*E456</f>
        <v>86.599369999999993</v>
      </c>
    </row>
    <row r="457" spans="1:7">
      <c r="A457" s="832" t="s">
        <v>1908</v>
      </c>
      <c r="B457" s="833"/>
      <c r="C457" s="833"/>
      <c r="D457" s="833"/>
      <c r="E457" s="833"/>
      <c r="F457" s="834"/>
      <c r="G457" s="90">
        <f>SUM(G453:G456)</f>
        <v>188.76676999999998</v>
      </c>
    </row>
    <row r="458" spans="1:7">
      <c r="A458" s="91"/>
      <c r="B458" s="92"/>
      <c r="C458" s="162"/>
      <c r="D458" s="92"/>
      <c r="E458" s="97"/>
      <c r="F458" s="98"/>
      <c r="G458" s="96"/>
    </row>
    <row r="459" spans="1:7">
      <c r="A459" s="835" t="s">
        <v>1912</v>
      </c>
      <c r="B459" s="836"/>
      <c r="C459" s="836"/>
      <c r="D459" s="836"/>
      <c r="E459" s="836"/>
      <c r="F459" s="836"/>
      <c r="G459" s="837"/>
    </row>
    <row r="460" spans="1:7">
      <c r="A460" s="84" t="s">
        <v>1903</v>
      </c>
      <c r="B460" s="84" t="s">
        <v>131</v>
      </c>
      <c r="C460" s="160" t="s">
        <v>1904</v>
      </c>
      <c r="D460" s="84" t="s">
        <v>167</v>
      </c>
      <c r="E460" s="85" t="s">
        <v>1905</v>
      </c>
      <c r="F460" s="86" t="s">
        <v>1906</v>
      </c>
      <c r="G460" s="86" t="s">
        <v>1907</v>
      </c>
    </row>
    <row r="461" spans="1:7">
      <c r="A461" s="87"/>
      <c r="B461" s="87"/>
      <c r="C461" s="278" t="s">
        <v>34</v>
      </c>
      <c r="D461" s="89" t="s">
        <v>34</v>
      </c>
      <c r="E461" s="88"/>
      <c r="F461" s="89" t="s">
        <v>34</v>
      </c>
      <c r="G461" s="89" t="s">
        <v>34</v>
      </c>
    </row>
    <row r="462" spans="1:7">
      <c r="A462" s="87"/>
      <c r="B462" s="87"/>
      <c r="C462" s="278" t="s">
        <v>34</v>
      </c>
      <c r="D462" s="89" t="s">
        <v>34</v>
      </c>
      <c r="E462" s="88"/>
      <c r="F462" s="89" t="s">
        <v>34</v>
      </c>
      <c r="G462" s="89" t="s">
        <v>34</v>
      </c>
    </row>
    <row r="463" spans="1:7">
      <c r="A463" s="832" t="s">
        <v>1908</v>
      </c>
      <c r="B463" s="833" t="s">
        <v>1908</v>
      </c>
      <c r="C463" s="833"/>
      <c r="D463" s="833"/>
      <c r="E463" s="833"/>
      <c r="F463" s="834"/>
      <c r="G463" s="90" t="s">
        <v>34</v>
      </c>
    </row>
    <row r="464" spans="1:7" ht="13.5" thickBot="1">
      <c r="A464" s="91"/>
      <c r="B464" s="92"/>
      <c r="C464" s="163"/>
      <c r="D464" s="99"/>
      <c r="E464" s="100"/>
      <c r="F464" s="101"/>
      <c r="G464" s="102"/>
    </row>
    <row r="465" spans="1:7" ht="13.5" thickBot="1">
      <c r="A465" s="838" t="s">
        <v>1259</v>
      </c>
      <c r="B465" s="839"/>
      <c r="C465" s="839"/>
      <c r="D465" s="839"/>
      <c r="E465" s="839"/>
      <c r="F465" s="840"/>
      <c r="G465" s="103">
        <f>G457+G449</f>
        <v>32997.284769999998</v>
      </c>
    </row>
    <row r="467" spans="1:7" hidden="1">
      <c r="A467" s="660"/>
      <c r="B467" s="653"/>
      <c r="C467" s="815"/>
      <c r="D467" s="815"/>
      <c r="E467" s="815"/>
      <c r="F467" s="815"/>
      <c r="G467" s="632"/>
    </row>
    <row r="468" spans="1:7" hidden="1">
      <c r="A468" s="179"/>
      <c r="B468" s="82"/>
      <c r="C468" s="830"/>
      <c r="D468" s="831"/>
      <c r="E468" s="831"/>
      <c r="F468" s="186"/>
      <c r="G468" s="83"/>
    </row>
    <row r="469" spans="1:7" hidden="1">
      <c r="A469" s="818"/>
      <c r="B469" s="819"/>
      <c r="C469" s="819"/>
      <c r="D469" s="819"/>
      <c r="E469" s="819"/>
      <c r="F469" s="819"/>
      <c r="G469" s="820"/>
    </row>
    <row r="470" spans="1:7" hidden="1">
      <c r="A470" s="633"/>
      <c r="B470" s="633"/>
      <c r="C470" s="649"/>
      <c r="D470" s="633"/>
      <c r="E470" s="634"/>
      <c r="F470" s="635"/>
      <c r="G470" s="635"/>
    </row>
    <row r="471" spans="1:7" hidden="1">
      <c r="A471" s="636"/>
      <c r="B471" s="636"/>
      <c r="C471" s="661"/>
      <c r="D471" s="638"/>
      <c r="E471" s="637"/>
      <c r="F471" s="638"/>
      <c r="G471" s="638"/>
    </row>
    <row r="472" spans="1:7" hidden="1">
      <c r="A472" s="636"/>
      <c r="B472" s="636"/>
      <c r="C472" s="661"/>
      <c r="D472" s="638"/>
      <c r="E472" s="637"/>
      <c r="F472" s="638"/>
      <c r="G472" s="638"/>
    </row>
    <row r="473" spans="1:7" hidden="1">
      <c r="A473" s="636"/>
      <c r="B473" s="636"/>
      <c r="C473" s="661"/>
      <c r="D473" s="638"/>
      <c r="E473" s="637"/>
      <c r="F473" s="638"/>
      <c r="G473" s="638"/>
    </row>
    <row r="474" spans="1:7" hidden="1">
      <c r="A474" s="821"/>
      <c r="B474" s="822"/>
      <c r="C474" s="822"/>
      <c r="D474" s="822"/>
      <c r="E474" s="822"/>
      <c r="F474" s="823"/>
      <c r="G474" s="613"/>
    </row>
    <row r="475" spans="1:7" hidden="1">
      <c r="A475" s="639"/>
      <c r="B475" s="640"/>
      <c r="C475" s="161"/>
      <c r="D475" s="93"/>
      <c r="E475" s="94"/>
      <c r="F475" s="95"/>
      <c r="G475" s="641"/>
    </row>
    <row r="476" spans="1:7" hidden="1">
      <c r="A476" s="824"/>
      <c r="B476" s="825"/>
      <c r="C476" s="825"/>
      <c r="D476" s="825"/>
      <c r="E476" s="825"/>
      <c r="F476" s="825"/>
      <c r="G476" s="826"/>
    </row>
    <row r="477" spans="1:7" hidden="1">
      <c r="A477" s="633"/>
      <c r="B477" s="633"/>
      <c r="C477" s="649"/>
      <c r="D477" s="633"/>
      <c r="E477" s="634"/>
      <c r="F477" s="635"/>
      <c r="G477" s="635"/>
    </row>
    <row r="478" spans="1:7" hidden="1">
      <c r="A478" s="636"/>
      <c r="B478" s="636"/>
      <c r="C478" s="661"/>
      <c r="D478" s="638"/>
      <c r="E478" s="637"/>
      <c r="F478" s="638"/>
      <c r="G478" s="638"/>
    </row>
    <row r="479" spans="1:7" hidden="1">
      <c r="A479" s="636"/>
      <c r="B479" s="636"/>
      <c r="C479" s="661"/>
      <c r="D479" s="638"/>
      <c r="E479" s="637"/>
      <c r="F479" s="638"/>
      <c r="G479" s="638"/>
    </row>
    <row r="480" spans="1:7" hidden="1">
      <c r="A480" s="636"/>
      <c r="B480" s="636"/>
      <c r="C480" s="661"/>
      <c r="D480" s="638"/>
      <c r="E480" s="637"/>
      <c r="F480" s="638"/>
      <c r="G480" s="638"/>
    </row>
    <row r="481" spans="1:11" hidden="1">
      <c r="A481" s="636"/>
      <c r="B481" s="636"/>
      <c r="C481" s="661"/>
      <c r="D481" s="638"/>
      <c r="E481" s="637"/>
      <c r="F481" s="638"/>
      <c r="G481" s="638"/>
    </row>
    <row r="482" spans="1:11" hidden="1">
      <c r="A482" s="821"/>
      <c r="B482" s="822"/>
      <c r="C482" s="822"/>
      <c r="D482" s="822"/>
      <c r="E482" s="822"/>
      <c r="F482" s="823"/>
      <c r="G482" s="613"/>
    </row>
    <row r="483" spans="1:11" hidden="1">
      <c r="A483" s="639"/>
      <c r="B483" s="640"/>
      <c r="C483" s="650"/>
      <c r="D483" s="640"/>
      <c r="E483" s="642"/>
      <c r="F483" s="643"/>
      <c r="G483" s="641"/>
    </row>
    <row r="484" spans="1:11" hidden="1">
      <c r="A484" s="824"/>
      <c r="B484" s="825"/>
      <c r="C484" s="825"/>
      <c r="D484" s="825"/>
      <c r="E484" s="825"/>
      <c r="F484" s="825"/>
      <c r="G484" s="826"/>
    </row>
    <row r="485" spans="1:11" hidden="1">
      <c r="A485" s="633"/>
      <c r="B485" s="633"/>
      <c r="C485" s="649"/>
      <c r="D485" s="633"/>
      <c r="E485" s="634"/>
      <c r="F485" s="635"/>
      <c r="G485" s="635"/>
    </row>
    <row r="486" spans="1:11" hidden="1">
      <c r="A486" s="636"/>
      <c r="B486" s="636"/>
      <c r="C486" s="661"/>
      <c r="D486" s="638"/>
      <c r="E486" s="637"/>
      <c r="F486" s="638"/>
      <c r="G486" s="638"/>
    </row>
    <row r="487" spans="1:11" hidden="1">
      <c r="A487" s="636"/>
      <c r="B487" s="636"/>
      <c r="C487" s="661"/>
      <c r="D487" s="638"/>
      <c r="E487" s="637"/>
      <c r="F487" s="638"/>
      <c r="G487" s="638"/>
    </row>
    <row r="488" spans="1:11" hidden="1">
      <c r="A488" s="821"/>
      <c r="B488" s="822"/>
      <c r="C488" s="822"/>
      <c r="D488" s="822"/>
      <c r="E488" s="822"/>
      <c r="F488" s="823"/>
      <c r="G488" s="613"/>
    </row>
    <row r="489" spans="1:11" ht="13.5" hidden="1" thickBot="1">
      <c r="A489" s="639"/>
      <c r="B489" s="640"/>
      <c r="C489" s="651"/>
      <c r="D489" s="644"/>
      <c r="E489" s="645"/>
      <c r="F489" s="646"/>
      <c r="G489" s="647"/>
    </row>
    <row r="490" spans="1:11" ht="13.5" hidden="1" thickBot="1">
      <c r="A490" s="827" t="s">
        <v>1259</v>
      </c>
      <c r="B490" s="828"/>
      <c r="C490" s="828"/>
      <c r="D490" s="828"/>
      <c r="E490" s="828"/>
      <c r="F490" s="829"/>
      <c r="G490" s="103">
        <f>G482+G474</f>
        <v>0</v>
      </c>
    </row>
    <row r="491" spans="1:11">
      <c r="A491" s="237" t="s">
        <v>131</v>
      </c>
      <c r="B491" s="190" t="s">
        <v>27</v>
      </c>
      <c r="C491" s="841" t="s">
        <v>1281</v>
      </c>
      <c r="D491" s="841"/>
      <c r="E491" s="841"/>
      <c r="F491" s="841"/>
      <c r="G491" s="81" t="s">
        <v>127</v>
      </c>
      <c r="I491" s="480" t="s">
        <v>1901</v>
      </c>
      <c r="J491" s="80"/>
      <c r="K491" s="80"/>
    </row>
    <row r="492" spans="1:11" ht="95.25" customHeight="1">
      <c r="A492" s="179" t="s">
        <v>404</v>
      </c>
      <c r="B492" s="82"/>
      <c r="C492" s="830" t="s">
        <v>3040</v>
      </c>
      <c r="D492" s="831"/>
      <c r="E492" s="831"/>
      <c r="F492" s="186">
        <f>G515</f>
        <v>21903.033751999999</v>
      </c>
      <c r="G492" s="83"/>
      <c r="I492" s="481"/>
      <c r="J492" s="272"/>
      <c r="K492" s="272"/>
    </row>
    <row r="493" spans="1:11">
      <c r="A493" s="818" t="s">
        <v>1902</v>
      </c>
      <c r="B493" s="819"/>
      <c r="C493" s="819"/>
      <c r="D493" s="819"/>
      <c r="E493" s="819"/>
      <c r="F493" s="819"/>
      <c r="G493" s="820"/>
    </row>
    <row r="494" spans="1:11">
      <c r="A494" s="84" t="s">
        <v>1903</v>
      </c>
      <c r="B494" s="84" t="s">
        <v>131</v>
      </c>
      <c r="C494" s="160" t="s">
        <v>1904</v>
      </c>
      <c r="D494" s="84" t="s">
        <v>167</v>
      </c>
      <c r="E494" s="85" t="s">
        <v>1905</v>
      </c>
      <c r="F494" s="86" t="s">
        <v>1906</v>
      </c>
      <c r="G494" s="86" t="s">
        <v>1907</v>
      </c>
    </row>
    <row r="495" spans="1:11" ht="120">
      <c r="A495" s="87" t="s">
        <v>1917</v>
      </c>
      <c r="B495" s="87" t="s">
        <v>1951</v>
      </c>
      <c r="C495" s="278" t="s">
        <v>405</v>
      </c>
      <c r="D495" s="89" t="s">
        <v>167</v>
      </c>
      <c r="E495" s="88">
        <v>1</v>
      </c>
      <c r="F495" s="89">
        <f>'Mapa Cotações'!M25</f>
        <v>21363.899999999998</v>
      </c>
      <c r="G495" s="89">
        <f>F495</f>
        <v>21363.899999999998</v>
      </c>
    </row>
    <row r="496" spans="1:11" ht="36">
      <c r="A496" s="636" t="s">
        <v>2</v>
      </c>
      <c r="B496" s="636">
        <v>11267</v>
      </c>
      <c r="C496" s="661" t="s">
        <v>1942</v>
      </c>
      <c r="D496" s="638" t="s">
        <v>1930</v>
      </c>
      <c r="E496" s="637">
        <v>4</v>
      </c>
      <c r="F496" s="638">
        <v>1.56</v>
      </c>
      <c r="G496" s="638">
        <v>6.24</v>
      </c>
    </row>
    <row r="497" spans="1:7">
      <c r="A497" s="636" t="s">
        <v>2</v>
      </c>
      <c r="B497" s="636">
        <v>39996</v>
      </c>
      <c r="C497" s="661" t="s">
        <v>1943</v>
      </c>
      <c r="D497" s="638" t="s">
        <v>1944</v>
      </c>
      <c r="E497" s="637">
        <v>0.2</v>
      </c>
      <c r="F497" s="638">
        <v>3.19</v>
      </c>
      <c r="G497" s="638">
        <v>0.63800000000000001</v>
      </c>
    </row>
    <row r="498" spans="1:7">
      <c r="A498" s="636" t="s">
        <v>2</v>
      </c>
      <c r="B498" s="636">
        <v>39997</v>
      </c>
      <c r="C498" s="661" t="s">
        <v>1945</v>
      </c>
      <c r="D498" s="638" t="s">
        <v>1930</v>
      </c>
      <c r="E498" s="637">
        <v>4</v>
      </c>
      <c r="F498" s="638">
        <v>0.41</v>
      </c>
      <c r="G498" s="638">
        <v>1.64</v>
      </c>
    </row>
    <row r="499" spans="1:7">
      <c r="A499" s="832" t="s">
        <v>1908</v>
      </c>
      <c r="B499" s="833"/>
      <c r="C499" s="833"/>
      <c r="D499" s="833"/>
      <c r="E499" s="833"/>
      <c r="F499" s="834"/>
      <c r="G499" s="90">
        <f>SUM(G495:G498)</f>
        <v>21372.417999999998</v>
      </c>
    </row>
    <row r="500" spans="1:7">
      <c r="A500" s="91"/>
      <c r="B500" s="92"/>
      <c r="C500" s="161"/>
      <c r="D500" s="93"/>
      <c r="E500" s="94"/>
      <c r="F500" s="95"/>
      <c r="G500" s="96"/>
    </row>
    <row r="501" spans="1:7">
      <c r="A501" s="835" t="s">
        <v>1909</v>
      </c>
      <c r="B501" s="836"/>
      <c r="C501" s="836"/>
      <c r="D501" s="836"/>
      <c r="E501" s="836"/>
      <c r="F501" s="836"/>
      <c r="G501" s="837"/>
    </row>
    <row r="502" spans="1:7">
      <c r="A502" s="84" t="s">
        <v>1903</v>
      </c>
      <c r="B502" s="84" t="s">
        <v>131</v>
      </c>
      <c r="C502" s="160" t="s">
        <v>1904</v>
      </c>
      <c r="D502" s="84" t="s">
        <v>167</v>
      </c>
      <c r="E502" s="85" t="s">
        <v>1905</v>
      </c>
      <c r="F502" s="86" t="s">
        <v>1906</v>
      </c>
      <c r="G502" s="86" t="s">
        <v>1907</v>
      </c>
    </row>
    <row r="503" spans="1:7" ht="24">
      <c r="A503" s="636" t="s">
        <v>2</v>
      </c>
      <c r="B503" s="636">
        <v>88247</v>
      </c>
      <c r="C503" s="661" t="s">
        <v>1911</v>
      </c>
      <c r="D503" s="638" t="s">
        <v>137</v>
      </c>
      <c r="E503" s="637">
        <v>2.532</v>
      </c>
      <c r="F503" s="638">
        <v>22.48</v>
      </c>
      <c r="G503" s="638">
        <f>F503*E503</f>
        <v>56.919360000000005</v>
      </c>
    </row>
    <row r="504" spans="1:7" ht="24">
      <c r="A504" s="636" t="s">
        <v>2</v>
      </c>
      <c r="B504" s="636">
        <v>88248</v>
      </c>
      <c r="C504" s="661" t="s">
        <v>1947</v>
      </c>
      <c r="D504" s="638" t="s">
        <v>137</v>
      </c>
      <c r="E504" s="637">
        <v>8.4583999999999993</v>
      </c>
      <c r="F504" s="638">
        <v>21.45</v>
      </c>
      <c r="G504" s="638">
        <f>F504*E504</f>
        <v>181.43267999999998</v>
      </c>
    </row>
    <row r="505" spans="1:7">
      <c r="A505" s="636" t="s">
        <v>2</v>
      </c>
      <c r="B505" s="636">
        <v>88264</v>
      </c>
      <c r="C505" s="661" t="s">
        <v>1910</v>
      </c>
      <c r="D505" s="638" t="s">
        <v>137</v>
      </c>
      <c r="E505" s="637">
        <v>2.532</v>
      </c>
      <c r="F505" s="638">
        <v>27.47</v>
      </c>
      <c r="G505" s="638">
        <f>F505*E505</f>
        <v>69.554040000000001</v>
      </c>
    </row>
    <row r="506" spans="1:7" ht="24">
      <c r="A506" s="636" t="s">
        <v>2</v>
      </c>
      <c r="B506" s="636">
        <v>88267</v>
      </c>
      <c r="C506" s="661" t="s">
        <v>1949</v>
      </c>
      <c r="D506" s="638" t="s">
        <v>137</v>
      </c>
      <c r="E506" s="637">
        <v>8.4583999999999993</v>
      </c>
      <c r="F506" s="638">
        <v>26.33</v>
      </c>
      <c r="G506" s="638">
        <f>F506*E506</f>
        <v>222.70967199999996</v>
      </c>
    </row>
    <row r="507" spans="1:7">
      <c r="A507" s="832" t="s">
        <v>1908</v>
      </c>
      <c r="B507" s="833"/>
      <c r="C507" s="833"/>
      <c r="D507" s="833"/>
      <c r="E507" s="833"/>
      <c r="F507" s="834"/>
      <c r="G507" s="90">
        <f>SUM(G503:G506)</f>
        <v>530.61575199999993</v>
      </c>
    </row>
    <row r="508" spans="1:7">
      <c r="A508" s="91"/>
      <c r="B508" s="92"/>
      <c r="C508" s="162"/>
      <c r="D508" s="92"/>
      <c r="E508" s="97"/>
      <c r="F508" s="98"/>
      <c r="G508" s="96"/>
    </row>
    <row r="509" spans="1:7">
      <c r="A509" s="835" t="s">
        <v>1912</v>
      </c>
      <c r="B509" s="836"/>
      <c r="C509" s="836"/>
      <c r="D509" s="836"/>
      <c r="E509" s="836"/>
      <c r="F509" s="836"/>
      <c r="G509" s="837"/>
    </row>
    <row r="510" spans="1:7">
      <c r="A510" s="84" t="s">
        <v>1903</v>
      </c>
      <c r="B510" s="84" t="s">
        <v>131</v>
      </c>
      <c r="C510" s="160" t="s">
        <v>1904</v>
      </c>
      <c r="D510" s="84" t="s">
        <v>167</v>
      </c>
      <c r="E510" s="85" t="s">
        <v>1905</v>
      </c>
      <c r="F510" s="86" t="s">
        <v>1906</v>
      </c>
      <c r="G510" s="86" t="s">
        <v>1907</v>
      </c>
    </row>
    <row r="511" spans="1:7">
      <c r="A511" s="87"/>
      <c r="B511" s="87"/>
      <c r="C511" s="278" t="s">
        <v>34</v>
      </c>
      <c r="D511" s="89" t="s">
        <v>34</v>
      </c>
      <c r="E511" s="88"/>
      <c r="F511" s="89" t="s">
        <v>34</v>
      </c>
      <c r="G511" s="89" t="s">
        <v>34</v>
      </c>
    </row>
    <row r="512" spans="1:7">
      <c r="A512" s="87"/>
      <c r="B512" s="87"/>
      <c r="C512" s="278" t="s">
        <v>34</v>
      </c>
      <c r="D512" s="89" t="s">
        <v>34</v>
      </c>
      <c r="E512" s="88"/>
      <c r="F512" s="89" t="s">
        <v>34</v>
      </c>
      <c r="G512" s="89" t="s">
        <v>34</v>
      </c>
    </row>
    <row r="513" spans="1:7">
      <c r="A513" s="832" t="s">
        <v>1908</v>
      </c>
      <c r="B513" s="833" t="s">
        <v>1908</v>
      </c>
      <c r="C513" s="833"/>
      <c r="D513" s="833"/>
      <c r="E513" s="833"/>
      <c r="F513" s="834"/>
      <c r="G513" s="90" t="s">
        <v>34</v>
      </c>
    </row>
    <row r="514" spans="1:7" ht="13.5" thickBot="1">
      <c r="A514" s="91"/>
      <c r="B514" s="92"/>
      <c r="C514" s="163"/>
      <c r="D514" s="99"/>
      <c r="E514" s="100"/>
      <c r="F514" s="101"/>
      <c r="G514" s="102"/>
    </row>
    <row r="515" spans="1:7" ht="13.5" thickBot="1">
      <c r="A515" s="838" t="s">
        <v>1259</v>
      </c>
      <c r="B515" s="839"/>
      <c r="C515" s="839"/>
      <c r="D515" s="839"/>
      <c r="E515" s="839"/>
      <c r="F515" s="840"/>
      <c r="G515" s="103">
        <f>G507+G499</f>
        <v>21903.033751999999</v>
      </c>
    </row>
    <row r="517" spans="1:7" hidden="1">
      <c r="A517" s="660"/>
      <c r="B517" s="653"/>
      <c r="C517" s="815"/>
      <c r="D517" s="815"/>
      <c r="E517" s="815"/>
      <c r="F517" s="815"/>
      <c r="G517" s="632"/>
    </row>
    <row r="518" spans="1:7" ht="13.15" hidden="1" customHeight="1">
      <c r="A518" s="179"/>
      <c r="B518" s="82"/>
      <c r="C518" s="830"/>
      <c r="D518" s="831"/>
      <c r="E518" s="831"/>
      <c r="F518" s="186"/>
      <c r="G518" s="83"/>
    </row>
    <row r="519" spans="1:7" hidden="1">
      <c r="A519" s="818"/>
      <c r="B519" s="819"/>
      <c r="C519" s="819"/>
      <c r="D519" s="819"/>
      <c r="E519" s="819"/>
      <c r="F519" s="819"/>
      <c r="G519" s="820"/>
    </row>
    <row r="520" spans="1:7" hidden="1">
      <c r="A520" s="633"/>
      <c r="B520" s="633"/>
      <c r="C520" s="649"/>
      <c r="D520" s="633"/>
      <c r="E520" s="634"/>
      <c r="F520" s="635"/>
      <c r="G520" s="635"/>
    </row>
    <row r="521" spans="1:7" hidden="1">
      <c r="A521" s="636"/>
      <c r="B521" s="636"/>
      <c r="C521" s="661"/>
      <c r="D521" s="638"/>
      <c r="E521" s="637"/>
      <c r="F521" s="638"/>
      <c r="G521" s="638"/>
    </row>
    <row r="522" spans="1:7" hidden="1">
      <c r="A522" s="636"/>
      <c r="B522" s="636"/>
      <c r="C522" s="661"/>
      <c r="D522" s="638"/>
      <c r="E522" s="637"/>
      <c r="F522" s="638"/>
      <c r="G522" s="638"/>
    </row>
    <row r="523" spans="1:7" hidden="1">
      <c r="A523" s="636"/>
      <c r="B523" s="636"/>
      <c r="C523" s="661"/>
      <c r="D523" s="638"/>
      <c r="E523" s="637"/>
      <c r="F523" s="638"/>
      <c r="G523" s="638"/>
    </row>
    <row r="524" spans="1:7" hidden="1">
      <c r="A524" s="821"/>
      <c r="B524" s="822"/>
      <c r="C524" s="822"/>
      <c r="D524" s="822"/>
      <c r="E524" s="822"/>
      <c r="F524" s="823"/>
      <c r="G524" s="613"/>
    </row>
    <row r="525" spans="1:7" hidden="1">
      <c r="A525" s="639"/>
      <c r="B525" s="640"/>
      <c r="C525" s="161"/>
      <c r="D525" s="93"/>
      <c r="E525" s="94"/>
      <c r="F525" s="95"/>
      <c r="G525" s="641"/>
    </row>
    <row r="526" spans="1:7" hidden="1">
      <c r="A526" s="824"/>
      <c r="B526" s="825"/>
      <c r="C526" s="825"/>
      <c r="D526" s="825"/>
      <c r="E526" s="825"/>
      <c r="F526" s="825"/>
      <c r="G526" s="826"/>
    </row>
    <row r="527" spans="1:7" hidden="1">
      <c r="A527" s="633"/>
      <c r="B527" s="633"/>
      <c r="C527" s="649"/>
      <c r="D527" s="633"/>
      <c r="E527" s="634"/>
      <c r="F527" s="635"/>
      <c r="G527" s="635"/>
    </row>
    <row r="528" spans="1:7" hidden="1">
      <c r="A528" s="636"/>
      <c r="B528" s="636"/>
      <c r="C528" s="661"/>
      <c r="D528" s="638"/>
      <c r="E528" s="637"/>
      <c r="F528" s="638"/>
      <c r="G528" s="638"/>
    </row>
    <row r="529" spans="1:11" hidden="1">
      <c r="A529" s="636"/>
      <c r="B529" s="636"/>
      <c r="C529" s="661"/>
      <c r="D529" s="638"/>
      <c r="E529" s="637"/>
      <c r="F529" s="638"/>
      <c r="G529" s="638"/>
    </row>
    <row r="530" spans="1:11" hidden="1">
      <c r="A530" s="636"/>
      <c r="B530" s="636"/>
      <c r="C530" s="661"/>
      <c r="D530" s="638"/>
      <c r="E530" s="637"/>
      <c r="F530" s="638"/>
      <c r="G530" s="638"/>
    </row>
    <row r="531" spans="1:11" hidden="1">
      <c r="A531" s="636"/>
      <c r="B531" s="636"/>
      <c r="C531" s="661"/>
      <c r="D531" s="638"/>
      <c r="E531" s="637"/>
      <c r="F531" s="638"/>
      <c r="G531" s="638"/>
    </row>
    <row r="532" spans="1:11" hidden="1">
      <c r="A532" s="821"/>
      <c r="B532" s="822"/>
      <c r="C532" s="822"/>
      <c r="D532" s="822"/>
      <c r="E532" s="822"/>
      <c r="F532" s="823"/>
      <c r="G532" s="613"/>
    </row>
    <row r="533" spans="1:11" hidden="1">
      <c r="A533" s="639"/>
      <c r="B533" s="640"/>
      <c r="C533" s="650"/>
      <c r="D533" s="640"/>
      <c r="E533" s="642"/>
      <c r="F533" s="643"/>
      <c r="G533" s="641"/>
    </row>
    <row r="534" spans="1:11" hidden="1">
      <c r="A534" s="824"/>
      <c r="B534" s="825"/>
      <c r="C534" s="825"/>
      <c r="D534" s="825"/>
      <c r="E534" s="825"/>
      <c r="F534" s="825"/>
      <c r="G534" s="826"/>
    </row>
    <row r="535" spans="1:11" hidden="1">
      <c r="A535" s="633"/>
      <c r="B535" s="633"/>
      <c r="C535" s="649"/>
      <c r="D535" s="633"/>
      <c r="E535" s="634"/>
      <c r="F535" s="635"/>
      <c r="G535" s="635"/>
    </row>
    <row r="536" spans="1:11" hidden="1">
      <c r="A536" s="636"/>
      <c r="B536" s="636"/>
      <c r="C536" s="661"/>
      <c r="D536" s="638"/>
      <c r="E536" s="637"/>
      <c r="F536" s="638"/>
      <c r="G536" s="638"/>
    </row>
    <row r="537" spans="1:11" hidden="1">
      <c r="A537" s="636"/>
      <c r="B537" s="636"/>
      <c r="C537" s="661"/>
      <c r="D537" s="638"/>
      <c r="E537" s="637"/>
      <c r="F537" s="638"/>
      <c r="G537" s="638"/>
    </row>
    <row r="538" spans="1:11" hidden="1">
      <c r="A538" s="821"/>
      <c r="B538" s="822"/>
      <c r="C538" s="822"/>
      <c r="D538" s="822"/>
      <c r="E538" s="822"/>
      <c r="F538" s="823"/>
      <c r="G538" s="613"/>
    </row>
    <row r="539" spans="1:11" ht="13.5" thickBot="1">
      <c r="A539" s="639"/>
      <c r="B539" s="640"/>
      <c r="C539" s="651"/>
      <c r="D539" s="644"/>
      <c r="E539" s="645"/>
      <c r="F539" s="646"/>
      <c r="G539" s="647"/>
    </row>
    <row r="540" spans="1:11" ht="13.5" thickBot="1">
      <c r="A540" s="827"/>
      <c r="B540" s="828"/>
      <c r="C540" s="828"/>
      <c r="D540" s="828"/>
      <c r="E540" s="828"/>
      <c r="F540" s="829"/>
      <c r="G540" s="103"/>
    </row>
    <row r="541" spans="1:11">
      <c r="A541" s="614"/>
      <c r="B541" s="623"/>
      <c r="C541" s="623"/>
      <c r="D541" s="623"/>
      <c r="E541" s="623"/>
      <c r="F541" s="623"/>
      <c r="G541" s="615"/>
    </row>
    <row r="542" spans="1:11">
      <c r="A542" s="237" t="s">
        <v>131</v>
      </c>
      <c r="B542" s="190" t="s">
        <v>27</v>
      </c>
      <c r="C542" s="860" t="s">
        <v>1281</v>
      </c>
      <c r="D542" s="861"/>
      <c r="E542" s="861"/>
      <c r="F542" s="862"/>
      <c r="G542" s="81" t="s">
        <v>127</v>
      </c>
      <c r="I542" s="480" t="s">
        <v>1901</v>
      </c>
      <c r="J542" s="80"/>
      <c r="K542" s="80"/>
    </row>
    <row r="543" spans="1:11" ht="62.25" customHeight="1">
      <c r="A543" s="179" t="s">
        <v>407</v>
      </c>
      <c r="B543" s="82"/>
      <c r="C543" s="830" t="s">
        <v>408</v>
      </c>
      <c r="D543" s="831"/>
      <c r="E543" s="831"/>
      <c r="F543" s="186">
        <f>G562</f>
        <v>1698.1838599999996</v>
      </c>
      <c r="G543" s="83" t="s">
        <v>167</v>
      </c>
      <c r="I543" s="481"/>
      <c r="J543" s="272"/>
      <c r="K543" s="272"/>
    </row>
    <row r="544" spans="1:11">
      <c r="A544" s="818" t="s">
        <v>1902</v>
      </c>
      <c r="B544" s="819"/>
      <c r="C544" s="819"/>
      <c r="D544" s="819"/>
      <c r="E544" s="819"/>
      <c r="F544" s="819"/>
      <c r="G544" s="820"/>
    </row>
    <row r="545" spans="1:7">
      <c r="A545" s="84" t="s">
        <v>1903</v>
      </c>
      <c r="B545" s="84" t="s">
        <v>131</v>
      </c>
      <c r="C545" s="160" t="s">
        <v>1904</v>
      </c>
      <c r="D545" s="84" t="s">
        <v>167</v>
      </c>
      <c r="E545" s="85" t="s">
        <v>1905</v>
      </c>
      <c r="F545" s="86" t="s">
        <v>1906</v>
      </c>
      <c r="G545" s="86" t="s">
        <v>1907</v>
      </c>
    </row>
    <row r="546" spans="1:7" ht="60">
      <c r="A546" s="87" t="s">
        <v>1917</v>
      </c>
      <c r="B546" s="87" t="s">
        <v>1952</v>
      </c>
      <c r="C546" s="278" t="s">
        <v>408</v>
      </c>
      <c r="D546" s="89" t="s">
        <v>167</v>
      </c>
      <c r="E546" s="88">
        <v>1</v>
      </c>
      <c r="F546" s="89">
        <f>'Mapa Cotações'!M26</f>
        <v>1499.1038599999997</v>
      </c>
      <c r="G546" s="89">
        <f>F546</f>
        <v>1499.1038599999997</v>
      </c>
    </row>
    <row r="547" spans="1:7">
      <c r="A547" s="87"/>
      <c r="B547" s="87"/>
      <c r="C547" s="278" t="s">
        <v>34</v>
      </c>
      <c r="D547" s="89" t="s">
        <v>34</v>
      </c>
      <c r="E547" s="88"/>
      <c r="F547" s="89" t="s">
        <v>34</v>
      </c>
      <c r="G547" s="89" t="s">
        <v>34</v>
      </c>
    </row>
    <row r="548" spans="1:7">
      <c r="A548" s="832" t="s">
        <v>1908</v>
      </c>
      <c r="B548" s="833"/>
      <c r="C548" s="833"/>
      <c r="D548" s="833"/>
      <c r="E548" s="833"/>
      <c r="F548" s="834"/>
      <c r="G548" s="90">
        <f>G546</f>
        <v>1499.1038599999997</v>
      </c>
    </row>
    <row r="549" spans="1:7">
      <c r="A549" s="91"/>
      <c r="B549" s="92"/>
      <c r="C549" s="161"/>
      <c r="D549" s="93"/>
      <c r="E549" s="94"/>
      <c r="F549" s="95"/>
      <c r="G549" s="96"/>
    </row>
    <row r="550" spans="1:7">
      <c r="A550" s="835" t="s">
        <v>1909</v>
      </c>
      <c r="B550" s="836"/>
      <c r="C550" s="836"/>
      <c r="D550" s="836"/>
      <c r="E550" s="836"/>
      <c r="F550" s="836"/>
      <c r="G550" s="837"/>
    </row>
    <row r="551" spans="1:7">
      <c r="A551" s="84" t="s">
        <v>1903</v>
      </c>
      <c r="B551" s="84" t="s">
        <v>131</v>
      </c>
      <c r="C551" s="160" t="s">
        <v>1904</v>
      </c>
      <c r="D551" s="84" t="s">
        <v>167</v>
      </c>
      <c r="E551" s="85" t="s">
        <v>1905</v>
      </c>
      <c r="F551" s="86" t="s">
        <v>1906</v>
      </c>
      <c r="G551" s="86" t="s">
        <v>1907</v>
      </c>
    </row>
    <row r="552" spans="1:7" ht="24">
      <c r="A552" s="87" t="s">
        <v>2</v>
      </c>
      <c r="B552" s="87">
        <v>100308</v>
      </c>
      <c r="C552" s="278" t="s">
        <v>1936</v>
      </c>
      <c r="D552" s="89" t="s">
        <v>137</v>
      </c>
      <c r="E552" s="88">
        <v>4</v>
      </c>
      <c r="F552" s="89">
        <v>28.94</v>
      </c>
      <c r="G552" s="89">
        <v>115.76</v>
      </c>
    </row>
    <row r="553" spans="1:7" ht="24">
      <c r="A553" s="87" t="s">
        <v>2</v>
      </c>
      <c r="B553" s="87">
        <v>88250</v>
      </c>
      <c r="C553" s="278" t="s">
        <v>1937</v>
      </c>
      <c r="D553" s="89" t="s">
        <v>137</v>
      </c>
      <c r="E553" s="88">
        <v>4</v>
      </c>
      <c r="F553" s="89">
        <v>20.83</v>
      </c>
      <c r="G553" s="89">
        <v>83.32</v>
      </c>
    </row>
    <row r="554" spans="1:7">
      <c r="A554" s="832" t="s">
        <v>1908</v>
      </c>
      <c r="B554" s="833"/>
      <c r="C554" s="833"/>
      <c r="D554" s="833"/>
      <c r="E554" s="833"/>
      <c r="F554" s="834"/>
      <c r="G554" s="90">
        <v>199.07999999999998</v>
      </c>
    </row>
    <row r="555" spans="1:7">
      <c r="A555" s="91"/>
      <c r="B555" s="92"/>
      <c r="C555" s="162"/>
      <c r="D555" s="92"/>
      <c r="E555" s="97"/>
      <c r="F555" s="98"/>
      <c r="G555" s="96"/>
    </row>
    <row r="556" spans="1:7">
      <c r="A556" s="835" t="s">
        <v>1912</v>
      </c>
      <c r="B556" s="836"/>
      <c r="C556" s="836"/>
      <c r="D556" s="836"/>
      <c r="E556" s="836"/>
      <c r="F556" s="836"/>
      <c r="G556" s="837"/>
    </row>
    <row r="557" spans="1:7">
      <c r="A557" s="84" t="s">
        <v>1903</v>
      </c>
      <c r="B557" s="84" t="s">
        <v>131</v>
      </c>
      <c r="C557" s="160" t="s">
        <v>1904</v>
      </c>
      <c r="D557" s="84" t="s">
        <v>167</v>
      </c>
      <c r="E557" s="85" t="s">
        <v>1905</v>
      </c>
      <c r="F557" s="86" t="s">
        <v>1906</v>
      </c>
      <c r="G557" s="86" t="s">
        <v>1907</v>
      </c>
    </row>
    <row r="558" spans="1:7">
      <c r="A558" s="87"/>
      <c r="B558" s="87"/>
      <c r="C558" s="278" t="s">
        <v>34</v>
      </c>
      <c r="D558" s="89" t="s">
        <v>34</v>
      </c>
      <c r="E558" s="88"/>
      <c r="F558" s="89" t="s">
        <v>34</v>
      </c>
      <c r="G558" s="89" t="s">
        <v>34</v>
      </c>
    </row>
    <row r="559" spans="1:7">
      <c r="A559" s="87"/>
      <c r="B559" s="87"/>
      <c r="C559" s="278" t="s">
        <v>34</v>
      </c>
      <c r="D559" s="89" t="s">
        <v>34</v>
      </c>
      <c r="E559" s="88"/>
      <c r="F559" s="89" t="s">
        <v>34</v>
      </c>
      <c r="G559" s="89" t="s">
        <v>34</v>
      </c>
    </row>
    <row r="560" spans="1:7">
      <c r="A560" s="832" t="s">
        <v>1908</v>
      </c>
      <c r="B560" s="833" t="s">
        <v>1908</v>
      </c>
      <c r="C560" s="833"/>
      <c r="D560" s="833"/>
      <c r="E560" s="833"/>
      <c r="F560" s="834"/>
      <c r="G560" s="90" t="s">
        <v>34</v>
      </c>
    </row>
    <row r="561" spans="1:11" ht="13.5" thickBot="1">
      <c r="A561" s="91"/>
      <c r="B561" s="92"/>
      <c r="C561" s="163"/>
      <c r="D561" s="99"/>
      <c r="E561" s="100"/>
      <c r="F561" s="101"/>
      <c r="G561" s="102"/>
    </row>
    <row r="562" spans="1:11" ht="13.5" thickBot="1">
      <c r="A562" s="838" t="s">
        <v>1259</v>
      </c>
      <c r="B562" s="839"/>
      <c r="C562" s="839"/>
      <c r="D562" s="839"/>
      <c r="E562" s="839"/>
      <c r="F562" s="840"/>
      <c r="G562" s="103">
        <f>SUM(G554,G548)</f>
        <v>1698.1838599999996</v>
      </c>
    </row>
    <row r="565" spans="1:11">
      <c r="A565" s="237" t="s">
        <v>131</v>
      </c>
      <c r="B565" s="190" t="s">
        <v>27</v>
      </c>
      <c r="C565" s="841" t="s">
        <v>1281</v>
      </c>
      <c r="D565" s="841"/>
      <c r="E565" s="841"/>
      <c r="F565" s="841"/>
      <c r="G565" s="81" t="s">
        <v>127</v>
      </c>
      <c r="I565" s="480" t="s">
        <v>1901</v>
      </c>
      <c r="J565" s="80"/>
      <c r="K565" s="80"/>
    </row>
    <row r="566" spans="1:11" ht="62.25" customHeight="1">
      <c r="A566" s="179" t="s">
        <v>410</v>
      </c>
      <c r="B566" s="82"/>
      <c r="C566" s="858" t="s">
        <v>411</v>
      </c>
      <c r="D566" s="859"/>
      <c r="E566" s="859"/>
      <c r="F566" s="186">
        <v>4328.66</v>
      </c>
      <c r="G566" s="83" t="s">
        <v>167</v>
      </c>
      <c r="I566" s="481"/>
      <c r="J566" s="272"/>
      <c r="K566" s="272"/>
    </row>
    <row r="567" spans="1:11">
      <c r="A567" s="818" t="s">
        <v>1902</v>
      </c>
      <c r="B567" s="819"/>
      <c r="C567" s="819"/>
      <c r="D567" s="819"/>
      <c r="E567" s="819"/>
      <c r="F567" s="819"/>
      <c r="G567" s="820"/>
    </row>
    <row r="568" spans="1:11">
      <c r="A568" s="84" t="s">
        <v>1903</v>
      </c>
      <c r="B568" s="84" t="s">
        <v>131</v>
      </c>
      <c r="C568" s="160" t="s">
        <v>1904</v>
      </c>
      <c r="D568" s="84" t="s">
        <v>167</v>
      </c>
      <c r="E568" s="85" t="s">
        <v>1905</v>
      </c>
      <c r="F568" s="86" t="s">
        <v>1906</v>
      </c>
      <c r="G568" s="86" t="s">
        <v>1907</v>
      </c>
    </row>
    <row r="569" spans="1:11" ht="72">
      <c r="A569" s="87" t="s">
        <v>1917</v>
      </c>
      <c r="B569" s="87" t="s">
        <v>1953</v>
      </c>
      <c r="C569" s="473" t="s">
        <v>411</v>
      </c>
      <c r="D569" s="89" t="s">
        <v>167</v>
      </c>
      <c r="E569" s="88">
        <v>1</v>
      </c>
      <c r="F569" s="89">
        <f>'Mapa Cotações'!M27</f>
        <v>4129.58</v>
      </c>
      <c r="G569" s="89">
        <v>4129.58</v>
      </c>
    </row>
    <row r="570" spans="1:11">
      <c r="A570" s="87"/>
      <c r="B570" s="87"/>
      <c r="C570" s="278" t="s">
        <v>34</v>
      </c>
      <c r="D570" s="89" t="s">
        <v>34</v>
      </c>
      <c r="E570" s="88"/>
      <c r="F570" s="89" t="s">
        <v>34</v>
      </c>
      <c r="G570" s="89" t="s">
        <v>34</v>
      </c>
    </row>
    <row r="571" spans="1:11">
      <c r="A571" s="832" t="s">
        <v>1908</v>
      </c>
      <c r="B571" s="833"/>
      <c r="C571" s="833"/>
      <c r="D571" s="833"/>
      <c r="E571" s="833"/>
      <c r="F571" s="834"/>
      <c r="G571" s="90">
        <v>4129.58</v>
      </c>
    </row>
    <row r="572" spans="1:11">
      <c r="A572" s="91"/>
      <c r="B572" s="92"/>
      <c r="C572" s="161"/>
      <c r="D572" s="93"/>
      <c r="E572" s="94"/>
      <c r="F572" s="95"/>
      <c r="G572" s="96"/>
    </row>
    <row r="573" spans="1:11">
      <c r="A573" s="835" t="s">
        <v>1909</v>
      </c>
      <c r="B573" s="836"/>
      <c r="C573" s="836"/>
      <c r="D573" s="836"/>
      <c r="E573" s="836"/>
      <c r="F573" s="836"/>
      <c r="G573" s="837"/>
    </row>
    <row r="574" spans="1:11">
      <c r="A574" s="84" t="s">
        <v>1903</v>
      </c>
      <c r="B574" s="84" t="s">
        <v>131</v>
      </c>
      <c r="C574" s="160" t="s">
        <v>1904</v>
      </c>
      <c r="D574" s="84" t="s">
        <v>167</v>
      </c>
      <c r="E574" s="85" t="s">
        <v>1905</v>
      </c>
      <c r="F574" s="86" t="s">
        <v>1906</v>
      </c>
      <c r="G574" s="86" t="s">
        <v>1907</v>
      </c>
    </row>
    <row r="575" spans="1:11" ht="24">
      <c r="A575" s="87" t="s">
        <v>2</v>
      </c>
      <c r="B575" s="87">
        <v>100308</v>
      </c>
      <c r="C575" s="278" t="s">
        <v>1936</v>
      </c>
      <c r="D575" s="89" t="s">
        <v>137</v>
      </c>
      <c r="E575" s="88">
        <v>4</v>
      </c>
      <c r="F575" s="89">
        <v>28.94</v>
      </c>
      <c r="G575" s="89">
        <v>115.76</v>
      </c>
    </row>
    <row r="576" spans="1:11" ht="24">
      <c r="A576" s="87" t="s">
        <v>2</v>
      </c>
      <c r="B576" s="87">
        <v>88250</v>
      </c>
      <c r="C576" s="278" t="s">
        <v>1937</v>
      </c>
      <c r="D576" s="89" t="s">
        <v>137</v>
      </c>
      <c r="E576" s="88">
        <v>4</v>
      </c>
      <c r="F576" s="89">
        <v>20.83</v>
      </c>
      <c r="G576" s="89">
        <v>83.32</v>
      </c>
    </row>
    <row r="577" spans="1:11">
      <c r="A577" s="832" t="s">
        <v>1908</v>
      </c>
      <c r="B577" s="833"/>
      <c r="C577" s="833"/>
      <c r="D577" s="833"/>
      <c r="E577" s="833"/>
      <c r="F577" s="834"/>
      <c r="G577" s="90">
        <v>199.07999999999998</v>
      </c>
    </row>
    <row r="578" spans="1:11">
      <c r="A578" s="91"/>
      <c r="B578" s="92"/>
      <c r="C578" s="162"/>
      <c r="D578" s="92"/>
      <c r="E578" s="97"/>
      <c r="F578" s="98"/>
      <c r="G578" s="96"/>
    </row>
    <row r="579" spans="1:11">
      <c r="A579" s="835" t="s">
        <v>1912</v>
      </c>
      <c r="B579" s="836"/>
      <c r="C579" s="836"/>
      <c r="D579" s="836"/>
      <c r="E579" s="836"/>
      <c r="F579" s="836"/>
      <c r="G579" s="837"/>
    </row>
    <row r="580" spans="1:11">
      <c r="A580" s="84" t="s">
        <v>1903</v>
      </c>
      <c r="B580" s="84" t="s">
        <v>131</v>
      </c>
      <c r="C580" s="160" t="s">
        <v>1904</v>
      </c>
      <c r="D580" s="84" t="s">
        <v>167</v>
      </c>
      <c r="E580" s="85" t="s">
        <v>1905</v>
      </c>
      <c r="F580" s="86" t="s">
        <v>1906</v>
      </c>
      <c r="G580" s="86" t="s">
        <v>1907</v>
      </c>
    </row>
    <row r="581" spans="1:11">
      <c r="A581" s="87"/>
      <c r="B581" s="87"/>
      <c r="C581" s="278" t="s">
        <v>34</v>
      </c>
      <c r="D581" s="89" t="s">
        <v>34</v>
      </c>
      <c r="E581" s="88"/>
      <c r="F581" s="89" t="s">
        <v>34</v>
      </c>
      <c r="G581" s="89" t="s">
        <v>34</v>
      </c>
    </row>
    <row r="582" spans="1:11">
      <c r="A582" s="87"/>
      <c r="B582" s="87"/>
      <c r="C582" s="278" t="s">
        <v>34</v>
      </c>
      <c r="D582" s="89" t="s">
        <v>34</v>
      </c>
      <c r="E582" s="88"/>
      <c r="F582" s="89" t="s">
        <v>34</v>
      </c>
      <c r="G582" s="89" t="s">
        <v>34</v>
      </c>
    </row>
    <row r="583" spans="1:11">
      <c r="A583" s="832" t="s">
        <v>1908</v>
      </c>
      <c r="B583" s="833" t="s">
        <v>1908</v>
      </c>
      <c r="C583" s="833"/>
      <c r="D583" s="833"/>
      <c r="E583" s="833"/>
      <c r="F583" s="834"/>
      <c r="G583" s="90" t="s">
        <v>34</v>
      </c>
    </row>
    <row r="584" spans="1:11" ht="13.5" thickBot="1">
      <c r="A584" s="91"/>
      <c r="B584" s="92"/>
      <c r="C584" s="163"/>
      <c r="D584" s="99"/>
      <c r="E584" s="100"/>
      <c r="F584" s="101"/>
      <c r="G584" s="102"/>
    </row>
    <row r="585" spans="1:11" ht="13.5" thickBot="1">
      <c r="A585" s="838" t="s">
        <v>1259</v>
      </c>
      <c r="B585" s="839"/>
      <c r="C585" s="839"/>
      <c r="D585" s="839"/>
      <c r="E585" s="839"/>
      <c r="F585" s="840"/>
      <c r="G585" s="103">
        <v>4328.66</v>
      </c>
    </row>
    <row r="588" spans="1:11">
      <c r="A588" s="237" t="s">
        <v>131</v>
      </c>
      <c r="B588" s="190" t="s">
        <v>27</v>
      </c>
      <c r="C588" s="841" t="s">
        <v>1281</v>
      </c>
      <c r="D588" s="841"/>
      <c r="E588" s="841"/>
      <c r="F588" s="841"/>
      <c r="G588" s="81" t="s">
        <v>127</v>
      </c>
      <c r="I588" s="480" t="s">
        <v>1901</v>
      </c>
      <c r="J588" s="80"/>
      <c r="K588" s="80"/>
    </row>
    <row r="589" spans="1:11" ht="50.1" customHeight="1">
      <c r="A589" s="179" t="s">
        <v>413</v>
      </c>
      <c r="B589" s="82"/>
      <c r="C589" s="830" t="s">
        <v>414</v>
      </c>
      <c r="D589" s="831"/>
      <c r="E589" s="831"/>
      <c r="F589" s="186">
        <f>G608</f>
        <v>2749.08</v>
      </c>
      <c r="G589" s="83" t="s">
        <v>167</v>
      </c>
      <c r="I589" s="481"/>
      <c r="J589" s="272"/>
      <c r="K589" s="272"/>
    </row>
    <row r="590" spans="1:11">
      <c r="A590" s="818" t="s">
        <v>1902</v>
      </c>
      <c r="B590" s="819"/>
      <c r="C590" s="819"/>
      <c r="D590" s="819"/>
      <c r="E590" s="819"/>
      <c r="F590" s="819"/>
      <c r="G590" s="820"/>
    </row>
    <row r="591" spans="1:11">
      <c r="A591" s="84" t="s">
        <v>1903</v>
      </c>
      <c r="B591" s="84" t="s">
        <v>131</v>
      </c>
      <c r="C591" s="160" t="s">
        <v>1904</v>
      </c>
      <c r="D591" s="84" t="s">
        <v>167</v>
      </c>
      <c r="E591" s="85" t="s">
        <v>1905</v>
      </c>
      <c r="F591" s="86" t="s">
        <v>1906</v>
      </c>
      <c r="G591" s="86" t="s">
        <v>1907</v>
      </c>
    </row>
    <row r="592" spans="1:11" ht="36">
      <c r="A592" s="87" t="s">
        <v>1917</v>
      </c>
      <c r="B592" s="87" t="s">
        <v>1954</v>
      </c>
      <c r="C592" s="278" t="s">
        <v>414</v>
      </c>
      <c r="D592" s="89" t="s">
        <v>167</v>
      </c>
      <c r="E592" s="88">
        <v>1</v>
      </c>
      <c r="F592" s="89">
        <f>'Mapa Cotações'!M28</f>
        <v>2550</v>
      </c>
      <c r="G592" s="89">
        <f>F592*E592</f>
        <v>2550</v>
      </c>
    </row>
    <row r="593" spans="1:7">
      <c r="A593" s="87"/>
      <c r="B593" s="87"/>
      <c r="C593" s="278" t="s">
        <v>34</v>
      </c>
      <c r="D593" s="89" t="s">
        <v>34</v>
      </c>
      <c r="E593" s="88"/>
      <c r="F593" s="89" t="s">
        <v>34</v>
      </c>
      <c r="G593" s="89" t="s">
        <v>34</v>
      </c>
    </row>
    <row r="594" spans="1:7">
      <c r="A594" s="832" t="s">
        <v>1908</v>
      </c>
      <c r="B594" s="833"/>
      <c r="C594" s="833"/>
      <c r="D594" s="833"/>
      <c r="E594" s="833"/>
      <c r="F594" s="834"/>
      <c r="G594" s="90">
        <v>0</v>
      </c>
    </row>
    <row r="595" spans="1:7">
      <c r="A595" s="91"/>
      <c r="B595" s="92"/>
      <c r="C595" s="161"/>
      <c r="D595" s="93"/>
      <c r="E595" s="94"/>
      <c r="F595" s="95"/>
      <c r="G595" s="96"/>
    </row>
    <row r="596" spans="1:7">
      <c r="A596" s="835" t="s">
        <v>1909</v>
      </c>
      <c r="B596" s="836"/>
      <c r="C596" s="836"/>
      <c r="D596" s="836"/>
      <c r="E596" s="836"/>
      <c r="F596" s="836"/>
      <c r="G596" s="837"/>
    </row>
    <row r="597" spans="1:7">
      <c r="A597" s="84" t="s">
        <v>1903</v>
      </c>
      <c r="B597" s="84" t="s">
        <v>131</v>
      </c>
      <c r="C597" s="160" t="s">
        <v>1904</v>
      </c>
      <c r="D597" s="84" t="s">
        <v>167</v>
      </c>
      <c r="E597" s="85" t="s">
        <v>1905</v>
      </c>
      <c r="F597" s="86" t="s">
        <v>1906</v>
      </c>
      <c r="G597" s="86" t="s">
        <v>1907</v>
      </c>
    </row>
    <row r="598" spans="1:7" ht="24">
      <c r="A598" s="87" t="s">
        <v>2</v>
      </c>
      <c r="B598" s="87">
        <v>100308</v>
      </c>
      <c r="C598" s="278" t="s">
        <v>1936</v>
      </c>
      <c r="D598" s="89" t="s">
        <v>137</v>
      </c>
      <c r="E598" s="88">
        <v>4</v>
      </c>
      <c r="F598" s="89">
        <v>28.94</v>
      </c>
      <c r="G598" s="89">
        <v>115.76</v>
      </c>
    </row>
    <row r="599" spans="1:7" ht="24">
      <c r="A599" s="87" t="s">
        <v>2</v>
      </c>
      <c r="B599" s="87">
        <v>88250</v>
      </c>
      <c r="C599" s="278" t="s">
        <v>1937</v>
      </c>
      <c r="D599" s="89" t="s">
        <v>137</v>
      </c>
      <c r="E599" s="88">
        <v>4</v>
      </c>
      <c r="F599" s="89">
        <v>20.83</v>
      </c>
      <c r="G599" s="89">
        <v>83.32</v>
      </c>
    </row>
    <row r="600" spans="1:7">
      <c r="A600" s="832" t="s">
        <v>1908</v>
      </c>
      <c r="B600" s="833"/>
      <c r="C600" s="833"/>
      <c r="D600" s="833"/>
      <c r="E600" s="833"/>
      <c r="F600" s="834"/>
      <c r="G600" s="90">
        <v>199.07999999999998</v>
      </c>
    </row>
    <row r="601" spans="1:7">
      <c r="A601" s="91"/>
      <c r="B601" s="92"/>
      <c r="C601" s="162"/>
      <c r="D601" s="92"/>
      <c r="E601" s="97"/>
      <c r="F601" s="98"/>
      <c r="G601" s="96"/>
    </row>
    <row r="602" spans="1:7">
      <c r="A602" s="835" t="s">
        <v>1912</v>
      </c>
      <c r="B602" s="836"/>
      <c r="C602" s="836"/>
      <c r="D602" s="836"/>
      <c r="E602" s="836"/>
      <c r="F602" s="836"/>
      <c r="G602" s="837"/>
    </row>
    <row r="603" spans="1:7">
      <c r="A603" s="84" t="s">
        <v>1903</v>
      </c>
      <c r="B603" s="84" t="s">
        <v>131</v>
      </c>
      <c r="C603" s="160" t="s">
        <v>1904</v>
      </c>
      <c r="D603" s="84" t="s">
        <v>167</v>
      </c>
      <c r="E603" s="85" t="s">
        <v>1905</v>
      </c>
      <c r="F603" s="86" t="s">
        <v>1906</v>
      </c>
      <c r="G603" s="86" t="s">
        <v>1907</v>
      </c>
    </row>
    <row r="604" spans="1:7">
      <c r="A604" s="87"/>
      <c r="B604" s="87"/>
      <c r="C604" s="278" t="s">
        <v>34</v>
      </c>
      <c r="D604" s="89" t="s">
        <v>34</v>
      </c>
      <c r="E604" s="88"/>
      <c r="F604" s="89" t="s">
        <v>34</v>
      </c>
      <c r="G604" s="89" t="s">
        <v>34</v>
      </c>
    </row>
    <row r="605" spans="1:7">
      <c r="A605" s="87"/>
      <c r="B605" s="87"/>
      <c r="C605" s="278" t="s">
        <v>34</v>
      </c>
      <c r="D605" s="89" t="s">
        <v>34</v>
      </c>
      <c r="E605" s="88"/>
      <c r="F605" s="89" t="s">
        <v>34</v>
      </c>
      <c r="G605" s="89" t="s">
        <v>34</v>
      </c>
    </row>
    <row r="606" spans="1:7">
      <c r="A606" s="832" t="s">
        <v>1908</v>
      </c>
      <c r="B606" s="833" t="s">
        <v>1908</v>
      </c>
      <c r="C606" s="833"/>
      <c r="D606" s="833"/>
      <c r="E606" s="833"/>
      <c r="F606" s="834"/>
      <c r="G606" s="90" t="s">
        <v>34</v>
      </c>
    </row>
    <row r="607" spans="1:7" ht="13.5" thickBot="1">
      <c r="A607" s="91"/>
      <c r="B607" s="92"/>
      <c r="C607" s="163"/>
      <c r="D607" s="99"/>
      <c r="E607" s="100"/>
      <c r="F607" s="101"/>
      <c r="G607" s="102"/>
    </row>
    <row r="608" spans="1:7" ht="13.5" thickBot="1">
      <c r="A608" s="838" t="s">
        <v>1259</v>
      </c>
      <c r="B608" s="839"/>
      <c r="C608" s="839"/>
      <c r="D608" s="839"/>
      <c r="E608" s="839"/>
      <c r="F608" s="840"/>
      <c r="G608" s="103">
        <f>SUM(G606,G600,G592)</f>
        <v>2749.08</v>
      </c>
    </row>
    <row r="611" spans="1:11">
      <c r="A611" s="237" t="s">
        <v>131</v>
      </c>
      <c r="B611" s="190" t="s">
        <v>27</v>
      </c>
      <c r="C611" s="841" t="s">
        <v>1281</v>
      </c>
      <c r="D611" s="841"/>
      <c r="E611" s="841"/>
      <c r="F611" s="841"/>
      <c r="G611" s="81" t="s">
        <v>127</v>
      </c>
      <c r="I611" s="480" t="s">
        <v>1901</v>
      </c>
      <c r="J611" s="80"/>
      <c r="K611" s="80"/>
    </row>
    <row r="612" spans="1:11" ht="50.1" customHeight="1">
      <c r="A612" s="179" t="s">
        <v>440</v>
      </c>
      <c r="B612" s="82"/>
      <c r="C612" s="830" t="s">
        <v>441</v>
      </c>
      <c r="D612" s="831"/>
      <c r="E612" s="831"/>
      <c r="F612" s="186">
        <f>G631</f>
        <v>77.593761999999998</v>
      </c>
      <c r="G612" s="83" t="s">
        <v>167</v>
      </c>
      <c r="I612" s="481"/>
      <c r="J612" s="272"/>
      <c r="K612" s="272"/>
    </row>
    <row r="613" spans="1:11">
      <c r="A613" s="818" t="s">
        <v>1902</v>
      </c>
      <c r="B613" s="819"/>
      <c r="C613" s="819"/>
      <c r="D613" s="819"/>
      <c r="E613" s="819"/>
      <c r="F613" s="819"/>
      <c r="G613" s="820"/>
    </row>
    <row r="614" spans="1:11">
      <c r="A614" s="84" t="s">
        <v>1903</v>
      </c>
      <c r="B614" s="84" t="s">
        <v>131</v>
      </c>
      <c r="C614" s="160" t="s">
        <v>1904</v>
      </c>
      <c r="D614" s="84" t="s">
        <v>167</v>
      </c>
      <c r="E614" s="85" t="s">
        <v>1905</v>
      </c>
      <c r="F614" s="86" t="s">
        <v>1906</v>
      </c>
      <c r="G614" s="86" t="s">
        <v>1907</v>
      </c>
    </row>
    <row r="615" spans="1:11" ht="36">
      <c r="A615" s="87" t="s">
        <v>1917</v>
      </c>
      <c r="B615" s="87" t="s">
        <v>1955</v>
      </c>
      <c r="C615" s="278" t="s">
        <v>441</v>
      </c>
      <c r="D615" s="89" t="s">
        <v>167</v>
      </c>
      <c r="E615" s="88">
        <v>1</v>
      </c>
      <c r="F615" s="89">
        <f>'Mapa Cotações'!M29</f>
        <v>70.33</v>
      </c>
      <c r="G615" s="89">
        <f>F615*E615</f>
        <v>70.33</v>
      </c>
    </row>
    <row r="616" spans="1:11">
      <c r="A616" s="87" t="s">
        <v>2</v>
      </c>
      <c r="B616" s="87">
        <v>3148</v>
      </c>
      <c r="C616" s="278" t="s">
        <v>1956</v>
      </c>
      <c r="D616" s="89" t="s">
        <v>1930</v>
      </c>
      <c r="E616" s="88">
        <v>1.32E-2</v>
      </c>
      <c r="F616" s="89">
        <v>12.76</v>
      </c>
      <c r="G616" s="89">
        <v>0.168432</v>
      </c>
    </row>
    <row r="617" spans="1:11">
      <c r="A617" s="832" t="s">
        <v>1908</v>
      </c>
      <c r="B617" s="833"/>
      <c r="C617" s="833"/>
      <c r="D617" s="833"/>
      <c r="E617" s="833"/>
      <c r="F617" s="834"/>
      <c r="G617" s="90">
        <f>SUM(G615:G616)</f>
        <v>70.498431999999994</v>
      </c>
    </row>
    <row r="618" spans="1:11">
      <c r="A618" s="91"/>
      <c r="B618" s="92"/>
      <c r="C618" s="161"/>
      <c r="D618" s="93"/>
      <c r="E618" s="94"/>
      <c r="F618" s="95"/>
      <c r="G618" s="96"/>
    </row>
    <row r="619" spans="1:11">
      <c r="A619" s="835" t="s">
        <v>1909</v>
      </c>
      <c r="B619" s="836"/>
      <c r="C619" s="836"/>
      <c r="D619" s="836"/>
      <c r="E619" s="836"/>
      <c r="F619" s="836"/>
      <c r="G619" s="837"/>
    </row>
    <row r="620" spans="1:11">
      <c r="A620" s="84" t="s">
        <v>1903</v>
      </c>
      <c r="B620" s="84" t="s">
        <v>131</v>
      </c>
      <c r="C620" s="160" t="s">
        <v>1904</v>
      </c>
      <c r="D620" s="84" t="s">
        <v>167</v>
      </c>
      <c r="E620" s="85" t="s">
        <v>1905</v>
      </c>
      <c r="F620" s="86" t="s">
        <v>1906</v>
      </c>
      <c r="G620" s="86" t="s">
        <v>1907</v>
      </c>
    </row>
    <row r="621" spans="1:11" ht="24">
      <c r="A621" s="87" t="s">
        <v>2</v>
      </c>
      <c r="B621" s="87">
        <v>88248</v>
      </c>
      <c r="C621" s="278" t="s">
        <v>1947</v>
      </c>
      <c r="D621" s="89" t="s">
        <v>137</v>
      </c>
      <c r="E621" s="88">
        <v>0.14849999999999999</v>
      </c>
      <c r="F621" s="89">
        <v>21.45</v>
      </c>
      <c r="G621" s="89">
        <v>3.1853249999999997</v>
      </c>
    </row>
    <row r="622" spans="1:11" ht="24">
      <c r="A622" s="87" t="s">
        <v>2</v>
      </c>
      <c r="B622" s="87">
        <v>88267</v>
      </c>
      <c r="C622" s="278" t="s">
        <v>1949</v>
      </c>
      <c r="D622" s="89" t="s">
        <v>137</v>
      </c>
      <c r="E622" s="88">
        <v>0.14849999999999999</v>
      </c>
      <c r="F622" s="89">
        <v>26.33</v>
      </c>
      <c r="G622" s="89">
        <v>3.9100049999999995</v>
      </c>
    </row>
    <row r="623" spans="1:11">
      <c r="A623" s="832" t="s">
        <v>1908</v>
      </c>
      <c r="B623" s="833"/>
      <c r="C623" s="833"/>
      <c r="D623" s="833"/>
      <c r="E623" s="833"/>
      <c r="F623" s="834"/>
      <c r="G623" s="90">
        <v>7.0953299999999988</v>
      </c>
    </row>
    <row r="624" spans="1:11">
      <c r="A624" s="91"/>
      <c r="B624" s="92"/>
      <c r="C624" s="162"/>
      <c r="D624" s="92"/>
      <c r="E624" s="97"/>
      <c r="F624" s="98"/>
      <c r="G624" s="96"/>
    </row>
    <row r="625" spans="1:11">
      <c r="A625" s="835" t="s">
        <v>1912</v>
      </c>
      <c r="B625" s="836"/>
      <c r="C625" s="836"/>
      <c r="D625" s="836"/>
      <c r="E625" s="836"/>
      <c r="F625" s="836"/>
      <c r="G625" s="837"/>
    </row>
    <row r="626" spans="1:11">
      <c r="A626" s="84" t="s">
        <v>1903</v>
      </c>
      <c r="B626" s="84" t="s">
        <v>131</v>
      </c>
      <c r="C626" s="160" t="s">
        <v>1904</v>
      </c>
      <c r="D626" s="84" t="s">
        <v>167</v>
      </c>
      <c r="E626" s="85" t="s">
        <v>1905</v>
      </c>
      <c r="F626" s="86" t="s">
        <v>1906</v>
      </c>
      <c r="G626" s="86" t="s">
        <v>1907</v>
      </c>
    </row>
    <row r="627" spans="1:11">
      <c r="A627" s="87"/>
      <c r="B627" s="87"/>
      <c r="C627" s="278" t="s">
        <v>34</v>
      </c>
      <c r="D627" s="89" t="s">
        <v>34</v>
      </c>
      <c r="E627" s="88"/>
      <c r="F627" s="89" t="s">
        <v>34</v>
      </c>
      <c r="G627" s="89" t="s">
        <v>34</v>
      </c>
    </row>
    <row r="628" spans="1:11">
      <c r="A628" s="87"/>
      <c r="B628" s="87"/>
      <c r="C628" s="278" t="s">
        <v>34</v>
      </c>
      <c r="D628" s="89" t="s">
        <v>34</v>
      </c>
      <c r="E628" s="88"/>
      <c r="F628" s="89" t="s">
        <v>34</v>
      </c>
      <c r="G628" s="89" t="s">
        <v>34</v>
      </c>
    </row>
    <row r="629" spans="1:11">
      <c r="A629" s="832" t="s">
        <v>1908</v>
      </c>
      <c r="B629" s="833" t="s">
        <v>1908</v>
      </c>
      <c r="C629" s="833"/>
      <c r="D629" s="833"/>
      <c r="E629" s="833"/>
      <c r="F629" s="834"/>
      <c r="G629" s="90" t="s">
        <v>34</v>
      </c>
    </row>
    <row r="630" spans="1:11" ht="13.5" thickBot="1">
      <c r="A630" s="91"/>
      <c r="B630" s="92"/>
      <c r="C630" s="163"/>
      <c r="D630" s="99"/>
      <c r="E630" s="100"/>
      <c r="F630" s="101"/>
      <c r="G630" s="102"/>
    </row>
    <row r="631" spans="1:11" ht="13.5" thickBot="1">
      <c r="A631" s="838" t="s">
        <v>1259</v>
      </c>
      <c r="B631" s="839"/>
      <c r="C631" s="839"/>
      <c r="D631" s="839"/>
      <c r="E631" s="839"/>
      <c r="F631" s="840"/>
      <c r="G631" s="103">
        <f>SUM(G629,G623,G617)</f>
        <v>77.593761999999998</v>
      </c>
    </row>
    <row r="634" spans="1:11">
      <c r="A634" s="237" t="s">
        <v>131</v>
      </c>
      <c r="B634" s="190" t="s">
        <v>27</v>
      </c>
      <c r="C634" s="841" t="s">
        <v>1281</v>
      </c>
      <c r="D634" s="841"/>
      <c r="E634" s="841"/>
      <c r="F634" s="841"/>
      <c r="G634" s="81" t="s">
        <v>127</v>
      </c>
      <c r="I634" s="480" t="s">
        <v>1901</v>
      </c>
      <c r="J634" s="80"/>
      <c r="K634" s="80"/>
    </row>
    <row r="635" spans="1:11" ht="50.1" customHeight="1">
      <c r="A635" s="179" t="s">
        <v>425</v>
      </c>
      <c r="B635" s="82"/>
      <c r="C635" s="830" t="s">
        <v>426</v>
      </c>
      <c r="D635" s="831"/>
      <c r="E635" s="831"/>
      <c r="F635" s="186">
        <f>G654</f>
        <v>851.33834999999999</v>
      </c>
      <c r="G635" s="83" t="s">
        <v>167</v>
      </c>
      <c r="I635" s="481"/>
      <c r="J635" s="272"/>
      <c r="K635" s="272"/>
    </row>
    <row r="636" spans="1:11">
      <c r="A636" s="818" t="s">
        <v>1902</v>
      </c>
      <c r="B636" s="819"/>
      <c r="C636" s="819"/>
      <c r="D636" s="819"/>
      <c r="E636" s="819"/>
      <c r="F636" s="819"/>
      <c r="G636" s="820"/>
    </row>
    <row r="637" spans="1:11">
      <c r="A637" s="84" t="s">
        <v>1903</v>
      </c>
      <c r="B637" s="84" t="s">
        <v>131</v>
      </c>
      <c r="C637" s="160" t="s">
        <v>1904</v>
      </c>
      <c r="D637" s="84" t="s">
        <v>167</v>
      </c>
      <c r="E637" s="85" t="s">
        <v>1905</v>
      </c>
      <c r="F637" s="86" t="s">
        <v>1906</v>
      </c>
      <c r="G637" s="86" t="s">
        <v>1907</v>
      </c>
    </row>
    <row r="638" spans="1:11" ht="48">
      <c r="A638" s="87" t="s">
        <v>1917</v>
      </c>
      <c r="B638" s="87" t="s">
        <v>1957</v>
      </c>
      <c r="C638" s="278" t="s">
        <v>426</v>
      </c>
      <c r="D638" s="89" t="s">
        <v>167</v>
      </c>
      <c r="E638" s="88">
        <v>1</v>
      </c>
      <c r="F638" s="89">
        <f>'Mapa Cotações'!M30</f>
        <v>819.72</v>
      </c>
      <c r="G638" s="89">
        <f>F638*E638</f>
        <v>819.72</v>
      </c>
    </row>
    <row r="639" spans="1:11">
      <c r="A639" s="87"/>
      <c r="B639" s="87"/>
      <c r="C639" s="278" t="s">
        <v>34</v>
      </c>
      <c r="D639" s="89" t="s">
        <v>34</v>
      </c>
      <c r="E639" s="88"/>
      <c r="F639" s="89" t="s">
        <v>34</v>
      </c>
      <c r="G639" s="89" t="s">
        <v>34</v>
      </c>
    </row>
    <row r="640" spans="1:11">
      <c r="A640" s="832" t="s">
        <v>1908</v>
      </c>
      <c r="B640" s="833"/>
      <c r="C640" s="833"/>
      <c r="D640" s="833"/>
      <c r="E640" s="833"/>
      <c r="F640" s="834"/>
      <c r="G640" s="90">
        <f>SUM(G638:G639)</f>
        <v>819.72</v>
      </c>
    </row>
    <row r="641" spans="1:7">
      <c r="A641" s="91"/>
      <c r="B641" s="92"/>
      <c r="C641" s="161"/>
      <c r="D641" s="93"/>
      <c r="E641" s="94"/>
      <c r="F641" s="95"/>
      <c r="G641" s="96"/>
    </row>
    <row r="642" spans="1:7">
      <c r="A642" s="835" t="s">
        <v>1909</v>
      </c>
      <c r="B642" s="836"/>
      <c r="C642" s="836"/>
      <c r="D642" s="836"/>
      <c r="E642" s="836"/>
      <c r="F642" s="836"/>
      <c r="G642" s="837"/>
    </row>
    <row r="643" spans="1:7">
      <c r="A643" s="84" t="s">
        <v>1903</v>
      </c>
      <c r="B643" s="84" t="s">
        <v>131</v>
      </c>
      <c r="C643" s="160" t="s">
        <v>1904</v>
      </c>
      <c r="D643" s="84" t="s">
        <v>167</v>
      </c>
      <c r="E643" s="85" t="s">
        <v>1905</v>
      </c>
      <c r="F643" s="86" t="s">
        <v>1906</v>
      </c>
      <c r="G643" s="86" t="s">
        <v>1907</v>
      </c>
    </row>
    <row r="644" spans="1:7" ht="24">
      <c r="A644" s="87" t="s">
        <v>2</v>
      </c>
      <c r="B644" s="87">
        <v>88247</v>
      </c>
      <c r="C644" s="278" t="s">
        <v>1911</v>
      </c>
      <c r="D644" s="89" t="s">
        <v>137</v>
      </c>
      <c r="E644" s="88">
        <v>0.63300000000000001</v>
      </c>
      <c r="F644" s="89">
        <v>22.48</v>
      </c>
      <c r="G644" s="89">
        <v>14.229840000000001</v>
      </c>
    </row>
    <row r="645" spans="1:7">
      <c r="A645" s="87" t="s">
        <v>2</v>
      </c>
      <c r="B645" s="87">
        <v>88264</v>
      </c>
      <c r="C645" s="278" t="s">
        <v>1910</v>
      </c>
      <c r="D645" s="89" t="s">
        <v>137</v>
      </c>
      <c r="E645" s="88">
        <v>0.63300000000000001</v>
      </c>
      <c r="F645" s="89">
        <v>27.47</v>
      </c>
      <c r="G645" s="89">
        <v>17.38851</v>
      </c>
    </row>
    <row r="646" spans="1:7">
      <c r="A646" s="832" t="s">
        <v>1908</v>
      </c>
      <c r="B646" s="833"/>
      <c r="C646" s="833"/>
      <c r="D646" s="833"/>
      <c r="E646" s="833"/>
      <c r="F646" s="834"/>
      <c r="G646" s="90">
        <v>31.61835</v>
      </c>
    </row>
    <row r="647" spans="1:7">
      <c r="A647" s="91"/>
      <c r="B647" s="92"/>
      <c r="C647" s="162"/>
      <c r="D647" s="92"/>
      <c r="E647" s="97"/>
      <c r="F647" s="98"/>
      <c r="G647" s="96"/>
    </row>
    <row r="648" spans="1:7">
      <c r="A648" s="835" t="s">
        <v>1912</v>
      </c>
      <c r="B648" s="836"/>
      <c r="C648" s="836"/>
      <c r="D648" s="836"/>
      <c r="E648" s="836"/>
      <c r="F648" s="836"/>
      <c r="G648" s="837"/>
    </row>
    <row r="649" spans="1:7">
      <c r="A649" s="84" t="s">
        <v>1903</v>
      </c>
      <c r="B649" s="84" t="s">
        <v>131</v>
      </c>
      <c r="C649" s="160" t="s">
        <v>1904</v>
      </c>
      <c r="D649" s="84" t="s">
        <v>167</v>
      </c>
      <c r="E649" s="85" t="s">
        <v>1905</v>
      </c>
      <c r="F649" s="86" t="s">
        <v>1906</v>
      </c>
      <c r="G649" s="86" t="s">
        <v>1907</v>
      </c>
    </row>
    <row r="650" spans="1:7">
      <c r="A650" s="87"/>
      <c r="B650" s="87"/>
      <c r="C650" s="278" t="s">
        <v>34</v>
      </c>
      <c r="D650" s="89" t="s">
        <v>34</v>
      </c>
      <c r="E650" s="88"/>
      <c r="F650" s="89" t="s">
        <v>34</v>
      </c>
      <c r="G650" s="89" t="s">
        <v>34</v>
      </c>
    </row>
    <row r="651" spans="1:7">
      <c r="A651" s="87"/>
      <c r="B651" s="87"/>
      <c r="C651" s="278" t="s">
        <v>34</v>
      </c>
      <c r="D651" s="89" t="s">
        <v>34</v>
      </c>
      <c r="E651" s="88"/>
      <c r="F651" s="89" t="s">
        <v>34</v>
      </c>
      <c r="G651" s="89" t="s">
        <v>34</v>
      </c>
    </row>
    <row r="652" spans="1:7">
      <c r="A652" s="832" t="s">
        <v>1908</v>
      </c>
      <c r="B652" s="833" t="s">
        <v>1908</v>
      </c>
      <c r="C652" s="833"/>
      <c r="D652" s="833"/>
      <c r="E652" s="833"/>
      <c r="F652" s="834"/>
      <c r="G652" s="90" t="s">
        <v>34</v>
      </c>
    </row>
    <row r="653" spans="1:7" ht="13.5" thickBot="1">
      <c r="A653" s="91"/>
      <c r="B653" s="92"/>
      <c r="C653" s="163"/>
      <c r="D653" s="99"/>
      <c r="E653" s="100"/>
      <c r="F653" s="101"/>
      <c r="G653" s="102"/>
    </row>
    <row r="654" spans="1:7" ht="13.5" thickBot="1">
      <c r="A654" s="838" t="s">
        <v>1259</v>
      </c>
      <c r="B654" s="839"/>
      <c r="C654" s="839"/>
      <c r="D654" s="839"/>
      <c r="E654" s="839"/>
      <c r="F654" s="840"/>
      <c r="G654" s="103">
        <f>SUM(G652,G646,G640)</f>
        <v>851.33834999999999</v>
      </c>
    </row>
    <row r="657" spans="1:11">
      <c r="A657" s="237" t="s">
        <v>131</v>
      </c>
      <c r="B657" s="190" t="s">
        <v>27</v>
      </c>
      <c r="C657" s="841" t="s">
        <v>1281</v>
      </c>
      <c r="D657" s="841"/>
      <c r="E657" s="841"/>
      <c r="F657" s="841"/>
      <c r="G657" s="81" t="s">
        <v>127</v>
      </c>
      <c r="I657" s="480" t="s">
        <v>1901</v>
      </c>
      <c r="J657" s="80"/>
      <c r="K657" s="80"/>
    </row>
    <row r="658" spans="1:11" ht="50.1" customHeight="1">
      <c r="A658" s="179" t="s">
        <v>428</v>
      </c>
      <c r="B658" s="82"/>
      <c r="C658" s="830" t="s">
        <v>1958</v>
      </c>
      <c r="D658" s="831"/>
      <c r="E658" s="831"/>
      <c r="F658" s="186">
        <f>G677</f>
        <v>173.94245999999998</v>
      </c>
      <c r="G658" s="83"/>
      <c r="I658" s="481"/>
      <c r="J658" s="272"/>
      <c r="K658" s="272"/>
    </row>
    <row r="659" spans="1:11">
      <c r="A659" s="818" t="s">
        <v>1902</v>
      </c>
      <c r="B659" s="819"/>
      <c r="C659" s="819"/>
      <c r="D659" s="819"/>
      <c r="E659" s="819"/>
      <c r="F659" s="819"/>
      <c r="G659" s="820"/>
    </row>
    <row r="660" spans="1:11">
      <c r="A660" s="84" t="s">
        <v>1903</v>
      </c>
      <c r="B660" s="84" t="s">
        <v>131</v>
      </c>
      <c r="C660" s="160" t="s">
        <v>1904</v>
      </c>
      <c r="D660" s="84" t="s">
        <v>167</v>
      </c>
      <c r="E660" s="85" t="s">
        <v>1905</v>
      </c>
      <c r="F660" s="86" t="s">
        <v>1906</v>
      </c>
      <c r="G660" s="86" t="s">
        <v>1907</v>
      </c>
    </row>
    <row r="661" spans="1:11" ht="48">
      <c r="A661" s="87" t="s">
        <v>1917</v>
      </c>
      <c r="B661" s="87" t="s">
        <v>1959</v>
      </c>
      <c r="C661" s="278" t="s">
        <v>1958</v>
      </c>
      <c r="D661" s="89" t="s">
        <v>167</v>
      </c>
      <c r="E661" s="88">
        <v>1</v>
      </c>
      <c r="F661" s="89">
        <f>'Mapa Cotações'!M31</f>
        <v>133.6224</v>
      </c>
      <c r="G661" s="89">
        <f>F661*E661</f>
        <v>133.6224</v>
      </c>
    </row>
    <row r="662" spans="1:11">
      <c r="A662" s="87" t="s">
        <v>2</v>
      </c>
      <c r="B662" s="87">
        <v>3146</v>
      </c>
      <c r="C662" s="278" t="s">
        <v>1960</v>
      </c>
      <c r="D662" s="89" t="s">
        <v>1930</v>
      </c>
      <c r="E662" s="88">
        <v>1.2E-2</v>
      </c>
      <c r="F662" s="89">
        <v>3.46</v>
      </c>
      <c r="G662" s="89">
        <v>4.1520000000000001E-2</v>
      </c>
    </row>
    <row r="663" spans="1:11">
      <c r="A663" s="832" t="s">
        <v>1908</v>
      </c>
      <c r="B663" s="833"/>
      <c r="C663" s="833"/>
      <c r="D663" s="833"/>
      <c r="E663" s="833"/>
      <c r="F663" s="834"/>
      <c r="G663" s="90">
        <f>SUM(G661:G662)</f>
        <v>133.66391999999999</v>
      </c>
    </row>
    <row r="664" spans="1:11">
      <c r="A664" s="91"/>
      <c r="B664" s="92"/>
      <c r="C664" s="161"/>
      <c r="D664" s="93"/>
      <c r="E664" s="94"/>
      <c r="F664" s="95"/>
      <c r="G664" s="96"/>
    </row>
    <row r="665" spans="1:11">
      <c r="A665" s="835" t="s">
        <v>1909</v>
      </c>
      <c r="B665" s="836"/>
      <c r="C665" s="836"/>
      <c r="D665" s="836"/>
      <c r="E665" s="836"/>
      <c r="F665" s="836"/>
      <c r="G665" s="837"/>
    </row>
    <row r="666" spans="1:11">
      <c r="A666" s="84" t="s">
        <v>1903</v>
      </c>
      <c r="B666" s="84" t="s">
        <v>131</v>
      </c>
      <c r="C666" s="160" t="s">
        <v>1904</v>
      </c>
      <c r="D666" s="84" t="s">
        <v>167</v>
      </c>
      <c r="E666" s="85" t="s">
        <v>1905</v>
      </c>
      <c r="F666" s="86" t="s">
        <v>1906</v>
      </c>
      <c r="G666" s="86" t="s">
        <v>1907</v>
      </c>
    </row>
    <row r="667" spans="1:11" ht="24">
      <c r="A667" s="87" t="s">
        <v>2</v>
      </c>
      <c r="B667" s="87">
        <v>88248</v>
      </c>
      <c r="C667" s="278" t="s">
        <v>1947</v>
      </c>
      <c r="D667" s="89" t="s">
        <v>137</v>
      </c>
      <c r="E667" s="88">
        <v>0.84299999999999997</v>
      </c>
      <c r="F667" s="89">
        <v>21.45</v>
      </c>
      <c r="G667" s="89">
        <v>18.082349999999998</v>
      </c>
    </row>
    <row r="668" spans="1:11" ht="24">
      <c r="A668" s="87" t="s">
        <v>2</v>
      </c>
      <c r="B668" s="87">
        <v>88267</v>
      </c>
      <c r="C668" s="278" t="s">
        <v>1949</v>
      </c>
      <c r="D668" s="89" t="s">
        <v>137</v>
      </c>
      <c r="E668" s="88">
        <v>0.84299999999999997</v>
      </c>
      <c r="F668" s="89">
        <v>26.33</v>
      </c>
      <c r="G668" s="89">
        <v>22.196189999999998</v>
      </c>
    </row>
    <row r="669" spans="1:11">
      <c r="A669" s="832" t="s">
        <v>1908</v>
      </c>
      <c r="B669" s="833"/>
      <c r="C669" s="833"/>
      <c r="D669" s="833"/>
      <c r="E669" s="833"/>
      <c r="F669" s="834"/>
      <c r="G669" s="90">
        <v>40.278539999999992</v>
      </c>
    </row>
    <row r="670" spans="1:11">
      <c r="A670" s="91"/>
      <c r="B670" s="92"/>
      <c r="C670" s="162"/>
      <c r="D670" s="92"/>
      <c r="E670" s="97"/>
      <c r="F670" s="98"/>
      <c r="G670" s="96"/>
    </row>
    <row r="671" spans="1:11">
      <c r="A671" s="835" t="s">
        <v>1912</v>
      </c>
      <c r="B671" s="836"/>
      <c r="C671" s="836"/>
      <c r="D671" s="836"/>
      <c r="E671" s="836"/>
      <c r="F671" s="836"/>
      <c r="G671" s="837"/>
    </row>
    <row r="672" spans="1:11">
      <c r="A672" s="84" t="s">
        <v>1903</v>
      </c>
      <c r="B672" s="84" t="s">
        <v>131</v>
      </c>
      <c r="C672" s="160" t="s">
        <v>1904</v>
      </c>
      <c r="D672" s="84" t="s">
        <v>167</v>
      </c>
      <c r="E672" s="85" t="s">
        <v>1905</v>
      </c>
      <c r="F672" s="86" t="s">
        <v>1906</v>
      </c>
      <c r="G672" s="86" t="s">
        <v>1907</v>
      </c>
    </row>
    <row r="673" spans="1:11">
      <c r="A673" s="87"/>
      <c r="B673" s="87"/>
      <c r="C673" s="278" t="s">
        <v>34</v>
      </c>
      <c r="D673" s="89" t="s">
        <v>34</v>
      </c>
      <c r="E673" s="88"/>
      <c r="F673" s="89" t="s">
        <v>34</v>
      </c>
      <c r="G673" s="89" t="s">
        <v>34</v>
      </c>
    </row>
    <row r="674" spans="1:11">
      <c r="A674" s="87"/>
      <c r="B674" s="87"/>
      <c r="C674" s="278" t="s">
        <v>34</v>
      </c>
      <c r="D674" s="89" t="s">
        <v>34</v>
      </c>
      <c r="E674" s="88"/>
      <c r="F674" s="89" t="s">
        <v>34</v>
      </c>
      <c r="G674" s="89" t="s">
        <v>34</v>
      </c>
    </row>
    <row r="675" spans="1:11">
      <c r="A675" s="832" t="s">
        <v>1908</v>
      </c>
      <c r="B675" s="833" t="s">
        <v>1908</v>
      </c>
      <c r="C675" s="833"/>
      <c r="D675" s="833"/>
      <c r="E675" s="833"/>
      <c r="F675" s="834"/>
      <c r="G675" s="90" t="s">
        <v>34</v>
      </c>
    </row>
    <row r="676" spans="1:11" ht="13.5" thickBot="1">
      <c r="A676" s="91"/>
      <c r="B676" s="92"/>
      <c r="C676" s="163"/>
      <c r="D676" s="99"/>
      <c r="E676" s="100"/>
      <c r="F676" s="101"/>
      <c r="G676" s="102"/>
    </row>
    <row r="677" spans="1:11" ht="13.5" thickBot="1">
      <c r="A677" s="838" t="s">
        <v>1259</v>
      </c>
      <c r="B677" s="839"/>
      <c r="C677" s="839"/>
      <c r="D677" s="839"/>
      <c r="E677" s="839"/>
      <c r="F677" s="840"/>
      <c r="G677" s="103">
        <f>SUM(G669,G663,G675)</f>
        <v>173.94245999999998</v>
      </c>
    </row>
    <row r="680" spans="1:11">
      <c r="A680" s="237" t="s">
        <v>131</v>
      </c>
      <c r="B680" s="190" t="s">
        <v>27</v>
      </c>
      <c r="C680" s="841" t="s">
        <v>1281</v>
      </c>
      <c r="D680" s="841"/>
      <c r="E680" s="841"/>
      <c r="F680" s="841"/>
      <c r="G680" s="81" t="s">
        <v>127</v>
      </c>
      <c r="I680" s="480" t="s">
        <v>1901</v>
      </c>
      <c r="J680" s="80"/>
      <c r="K680" s="80"/>
    </row>
    <row r="681" spans="1:11" ht="50.1" customHeight="1">
      <c r="A681" s="179" t="s">
        <v>431</v>
      </c>
      <c r="B681" s="82"/>
      <c r="C681" s="830" t="s">
        <v>432</v>
      </c>
      <c r="D681" s="831"/>
      <c r="E681" s="831"/>
      <c r="F681" s="186">
        <f>G701</f>
        <v>54.478259999999999</v>
      </c>
      <c r="G681" s="83" t="s">
        <v>180</v>
      </c>
      <c r="I681" s="481"/>
      <c r="J681" s="272"/>
      <c r="K681" s="272"/>
    </row>
    <row r="682" spans="1:11">
      <c r="A682" s="818" t="s">
        <v>1902</v>
      </c>
      <c r="B682" s="819"/>
      <c r="C682" s="819"/>
      <c r="D682" s="819"/>
      <c r="E682" s="819"/>
      <c r="F682" s="819"/>
      <c r="G682" s="820"/>
    </row>
    <row r="683" spans="1:11">
      <c r="A683" s="84" t="s">
        <v>1903</v>
      </c>
      <c r="B683" s="84" t="s">
        <v>131</v>
      </c>
      <c r="C683" s="160" t="s">
        <v>1904</v>
      </c>
      <c r="D683" s="84" t="s">
        <v>167</v>
      </c>
      <c r="E683" s="85" t="s">
        <v>1905</v>
      </c>
      <c r="F683" s="86" t="s">
        <v>1906</v>
      </c>
      <c r="G683" s="86" t="s">
        <v>1907</v>
      </c>
    </row>
    <row r="684" spans="1:11" ht="24">
      <c r="A684" s="87" t="s">
        <v>2</v>
      </c>
      <c r="B684" s="87">
        <v>13127</v>
      </c>
      <c r="C684" s="278" t="s">
        <v>432</v>
      </c>
      <c r="D684" s="89" t="s">
        <v>180</v>
      </c>
      <c r="E684" s="88">
        <v>1.0389999999999999</v>
      </c>
      <c r="F684" s="89">
        <v>43.42</v>
      </c>
      <c r="G684" s="89">
        <f>F684*E684</f>
        <v>45.113379999999999</v>
      </c>
    </row>
    <row r="685" spans="1:11">
      <c r="A685" s="87"/>
      <c r="B685" s="87"/>
      <c r="C685" s="278" t="s">
        <v>34</v>
      </c>
      <c r="D685" s="89" t="s">
        <v>34</v>
      </c>
      <c r="E685" s="88"/>
      <c r="F685" s="89" t="s">
        <v>34</v>
      </c>
      <c r="G685" s="89" t="s">
        <v>34</v>
      </c>
    </row>
    <row r="686" spans="1:11">
      <c r="A686" s="832" t="s">
        <v>1908</v>
      </c>
      <c r="B686" s="833"/>
      <c r="C686" s="833"/>
      <c r="D686" s="833"/>
      <c r="E686" s="833"/>
      <c r="F686" s="834"/>
      <c r="G686" s="90">
        <f>SUM(G684:G685)</f>
        <v>45.113379999999999</v>
      </c>
    </row>
    <row r="687" spans="1:11">
      <c r="A687" s="91"/>
      <c r="B687" s="92"/>
      <c r="C687" s="161"/>
      <c r="D687" s="93"/>
      <c r="E687" s="94"/>
      <c r="F687" s="95"/>
      <c r="G687" s="96"/>
    </row>
    <row r="688" spans="1:11">
      <c r="A688" s="835" t="s">
        <v>1909</v>
      </c>
      <c r="B688" s="836"/>
      <c r="C688" s="836"/>
      <c r="D688" s="836"/>
      <c r="E688" s="836"/>
      <c r="F688" s="836"/>
      <c r="G688" s="837"/>
    </row>
    <row r="689" spans="1:11">
      <c r="A689" s="84" t="s">
        <v>1903</v>
      </c>
      <c r="B689" s="84" t="s">
        <v>131</v>
      </c>
      <c r="C689" s="160" t="s">
        <v>1904</v>
      </c>
      <c r="D689" s="84" t="s">
        <v>167</v>
      </c>
      <c r="E689" s="85" t="s">
        <v>1905</v>
      </c>
      <c r="F689" s="86" t="s">
        <v>1906</v>
      </c>
      <c r="G689" s="86" t="s">
        <v>1907</v>
      </c>
    </row>
    <row r="690" spans="1:11" ht="24">
      <c r="A690" s="87" t="s">
        <v>2</v>
      </c>
      <c r="B690" s="87">
        <v>88248</v>
      </c>
      <c r="C690" s="278" t="s">
        <v>1947</v>
      </c>
      <c r="D690" s="89" t="s">
        <v>137</v>
      </c>
      <c r="E690" s="88">
        <v>0.19600000000000001</v>
      </c>
      <c r="F690" s="89">
        <v>21.45</v>
      </c>
      <c r="G690" s="89">
        <f>F690*E690</f>
        <v>4.2042000000000002</v>
      </c>
    </row>
    <row r="691" spans="1:11" ht="24">
      <c r="A691" s="87" t="s">
        <v>2</v>
      </c>
      <c r="B691" s="87">
        <v>88267</v>
      </c>
      <c r="C691" s="278" t="s">
        <v>1949</v>
      </c>
      <c r="D691" s="89" t="s">
        <v>137</v>
      </c>
      <c r="E691" s="88">
        <v>0.19600000000000001</v>
      </c>
      <c r="F691" s="89">
        <v>26.33</v>
      </c>
      <c r="G691" s="89">
        <f>F691*E691</f>
        <v>5.1606800000000002</v>
      </c>
    </row>
    <row r="692" spans="1:11">
      <c r="A692" s="87"/>
      <c r="B692" s="87"/>
      <c r="C692" s="278"/>
      <c r="D692" s="89"/>
      <c r="E692" s="88"/>
      <c r="F692" s="89"/>
      <c r="G692" s="89"/>
    </row>
    <row r="693" spans="1:11">
      <c r="A693" s="832" t="s">
        <v>1908</v>
      </c>
      <c r="B693" s="833"/>
      <c r="C693" s="833"/>
      <c r="D693" s="833"/>
      <c r="E693" s="833"/>
      <c r="F693" s="834"/>
      <c r="G693" s="90">
        <f>SUM(G690:G692)</f>
        <v>9.3648799999999994</v>
      </c>
    </row>
    <row r="694" spans="1:11">
      <c r="A694" s="91"/>
      <c r="B694" s="92"/>
      <c r="C694" s="162"/>
      <c r="D694" s="92"/>
      <c r="E694" s="97"/>
      <c r="F694" s="98"/>
      <c r="G694" s="96"/>
    </row>
    <row r="695" spans="1:11">
      <c r="A695" s="835" t="s">
        <v>1912</v>
      </c>
      <c r="B695" s="836"/>
      <c r="C695" s="836"/>
      <c r="D695" s="836"/>
      <c r="E695" s="836"/>
      <c r="F695" s="836"/>
      <c r="G695" s="837"/>
    </row>
    <row r="696" spans="1:11">
      <c r="A696" s="84" t="s">
        <v>1903</v>
      </c>
      <c r="B696" s="84" t="s">
        <v>131</v>
      </c>
      <c r="C696" s="160" t="s">
        <v>1904</v>
      </c>
      <c r="D696" s="84" t="s">
        <v>167</v>
      </c>
      <c r="E696" s="85" t="s">
        <v>1905</v>
      </c>
      <c r="F696" s="86" t="s">
        <v>1906</v>
      </c>
      <c r="G696" s="86" t="s">
        <v>1907</v>
      </c>
    </row>
    <row r="697" spans="1:11">
      <c r="A697" s="87"/>
      <c r="B697" s="87"/>
      <c r="C697" s="278" t="s">
        <v>34</v>
      </c>
      <c r="D697" s="89" t="s">
        <v>34</v>
      </c>
      <c r="E697" s="88"/>
      <c r="F697" s="89" t="s">
        <v>34</v>
      </c>
      <c r="G697" s="89" t="s">
        <v>34</v>
      </c>
    </row>
    <row r="698" spans="1:11">
      <c r="A698" s="87"/>
      <c r="B698" s="87"/>
      <c r="C698" s="278" t="s">
        <v>34</v>
      </c>
      <c r="D698" s="89" t="s">
        <v>34</v>
      </c>
      <c r="E698" s="88"/>
      <c r="F698" s="89" t="s">
        <v>34</v>
      </c>
      <c r="G698" s="89" t="s">
        <v>34</v>
      </c>
    </row>
    <row r="699" spans="1:11">
      <c r="A699" s="832" t="s">
        <v>1908</v>
      </c>
      <c r="B699" s="833" t="s">
        <v>1908</v>
      </c>
      <c r="C699" s="833"/>
      <c r="D699" s="833"/>
      <c r="E699" s="833"/>
      <c r="F699" s="834"/>
      <c r="G699" s="90" t="s">
        <v>34</v>
      </c>
    </row>
    <row r="700" spans="1:11" ht="13.5" thickBot="1">
      <c r="A700" s="91"/>
      <c r="B700" s="92"/>
      <c r="C700" s="163"/>
      <c r="D700" s="99"/>
      <c r="E700" s="100"/>
      <c r="F700" s="101"/>
      <c r="G700" s="102"/>
    </row>
    <row r="701" spans="1:11" ht="13.5" thickBot="1">
      <c r="A701" s="838" t="s">
        <v>1259</v>
      </c>
      <c r="B701" s="839"/>
      <c r="C701" s="839"/>
      <c r="D701" s="839"/>
      <c r="E701" s="839"/>
      <c r="F701" s="840"/>
      <c r="G701" s="103">
        <f>SUM(G699,G693,G686)</f>
        <v>54.478259999999999</v>
      </c>
    </row>
    <row r="704" spans="1:11">
      <c r="A704" s="237" t="s">
        <v>131</v>
      </c>
      <c r="B704" s="190" t="s">
        <v>27</v>
      </c>
      <c r="C704" s="841" t="s">
        <v>1281</v>
      </c>
      <c r="D704" s="841"/>
      <c r="E704" s="841"/>
      <c r="F704" s="841"/>
      <c r="G704" s="81" t="s">
        <v>127</v>
      </c>
      <c r="I704" s="480" t="s">
        <v>1901</v>
      </c>
      <c r="J704" s="80"/>
      <c r="K704" s="80"/>
    </row>
    <row r="705" spans="1:11" ht="50.1" customHeight="1">
      <c r="A705" s="179" t="s">
        <v>434</v>
      </c>
      <c r="B705" s="82"/>
      <c r="C705" s="830" t="s">
        <v>435</v>
      </c>
      <c r="D705" s="831"/>
      <c r="E705" s="831"/>
      <c r="F705" s="186">
        <f>G725</f>
        <v>26.273069999999997</v>
      </c>
      <c r="G705" s="83" t="s">
        <v>167</v>
      </c>
      <c r="I705" s="481"/>
      <c r="J705" s="272"/>
      <c r="K705" s="272"/>
    </row>
    <row r="706" spans="1:11">
      <c r="A706" s="818" t="s">
        <v>1902</v>
      </c>
      <c r="B706" s="819"/>
      <c r="C706" s="819"/>
      <c r="D706" s="819"/>
      <c r="E706" s="819"/>
      <c r="F706" s="819"/>
      <c r="G706" s="820"/>
    </row>
    <row r="707" spans="1:11">
      <c r="A707" s="84" t="s">
        <v>1903</v>
      </c>
      <c r="B707" s="84" t="s">
        <v>131</v>
      </c>
      <c r="C707" s="160" t="s">
        <v>1904</v>
      </c>
      <c r="D707" s="84" t="s">
        <v>167</v>
      </c>
      <c r="E707" s="85" t="s">
        <v>1905</v>
      </c>
      <c r="F707" s="86" t="s">
        <v>1906</v>
      </c>
      <c r="G707" s="86" t="s">
        <v>1907</v>
      </c>
    </row>
    <row r="708" spans="1:11" ht="24">
      <c r="A708" s="87" t="s">
        <v>2</v>
      </c>
      <c r="B708" s="87">
        <v>6294</v>
      </c>
      <c r="C708" s="278" t="s">
        <v>435</v>
      </c>
      <c r="D708" s="89" t="s">
        <v>167</v>
      </c>
      <c r="E708" s="88">
        <v>1</v>
      </c>
      <c r="F708" s="89">
        <v>9.42</v>
      </c>
      <c r="G708" s="89">
        <f t="shared" ref="G708:G710" si="0">F708*E708</f>
        <v>9.42</v>
      </c>
    </row>
    <row r="709" spans="1:11">
      <c r="A709" s="87" t="s">
        <v>2</v>
      </c>
      <c r="B709" s="87">
        <v>3148</v>
      </c>
      <c r="C709" s="278" t="s">
        <v>1956</v>
      </c>
      <c r="D709" s="89" t="s">
        <v>1930</v>
      </c>
      <c r="E709" s="88">
        <v>1.2999999999999999E-2</v>
      </c>
      <c r="F709" s="89">
        <v>12.76</v>
      </c>
      <c r="G709" s="89">
        <f t="shared" si="0"/>
        <v>0.16588</v>
      </c>
    </row>
    <row r="710" spans="1:11" ht="24">
      <c r="A710" s="87" t="s">
        <v>2</v>
      </c>
      <c r="B710" s="87">
        <v>7307</v>
      </c>
      <c r="C710" s="278" t="s">
        <v>1961</v>
      </c>
      <c r="D710" s="89" t="s">
        <v>1962</v>
      </c>
      <c r="E710" s="88">
        <v>3.0000000000000001E-3</v>
      </c>
      <c r="F710" s="89">
        <v>51.77</v>
      </c>
      <c r="G710" s="89">
        <f t="shared" si="0"/>
        <v>0.15531</v>
      </c>
    </row>
    <row r="711" spans="1:11">
      <c r="A711" s="832" t="s">
        <v>1908</v>
      </c>
      <c r="B711" s="833"/>
      <c r="C711" s="833"/>
      <c r="D711" s="833"/>
      <c r="E711" s="833"/>
      <c r="F711" s="834"/>
      <c r="G711" s="90">
        <f>SUM(G708:G710)</f>
        <v>9.7411899999999996</v>
      </c>
    </row>
    <row r="712" spans="1:11">
      <c r="A712" s="91"/>
      <c r="B712" s="92"/>
      <c r="C712" s="161"/>
      <c r="D712" s="93"/>
      <c r="E712" s="94"/>
      <c r="F712" s="95"/>
      <c r="G712" s="96"/>
    </row>
    <row r="713" spans="1:11">
      <c r="A713" s="835" t="s">
        <v>1909</v>
      </c>
      <c r="B713" s="836"/>
      <c r="C713" s="836"/>
      <c r="D713" s="836"/>
      <c r="E713" s="836"/>
      <c r="F713" s="836"/>
      <c r="G713" s="837"/>
    </row>
    <row r="714" spans="1:11">
      <c r="A714" s="84" t="s">
        <v>1903</v>
      </c>
      <c r="B714" s="84" t="s">
        <v>131</v>
      </c>
      <c r="C714" s="160" t="s">
        <v>1904</v>
      </c>
      <c r="D714" s="84" t="s">
        <v>167</v>
      </c>
      <c r="E714" s="85" t="s">
        <v>1905</v>
      </c>
      <c r="F714" s="86" t="s">
        <v>1906</v>
      </c>
      <c r="G714" s="86" t="s">
        <v>1907</v>
      </c>
    </row>
    <row r="715" spans="1:11" ht="24">
      <c r="A715" s="87" t="s">
        <v>2</v>
      </c>
      <c r="B715" s="87">
        <v>88248</v>
      </c>
      <c r="C715" s="278" t="s">
        <v>1947</v>
      </c>
      <c r="D715" s="89" t="s">
        <v>137</v>
      </c>
      <c r="E715" s="88">
        <v>0.34599999999999997</v>
      </c>
      <c r="F715" s="89">
        <v>21.45</v>
      </c>
      <c r="G715" s="89">
        <f t="shared" ref="G715:G716" si="1">F715*E715</f>
        <v>7.4216999999999995</v>
      </c>
    </row>
    <row r="716" spans="1:11" ht="24">
      <c r="A716" s="87" t="s">
        <v>2</v>
      </c>
      <c r="B716" s="87">
        <v>88267</v>
      </c>
      <c r="C716" s="278" t="s">
        <v>1949</v>
      </c>
      <c r="D716" s="89" t="s">
        <v>137</v>
      </c>
      <c r="E716" s="88">
        <v>0.34599999999999997</v>
      </c>
      <c r="F716" s="89">
        <v>26.33</v>
      </c>
      <c r="G716" s="89">
        <f t="shared" si="1"/>
        <v>9.1101799999999979</v>
      </c>
    </row>
    <row r="717" spans="1:11">
      <c r="A717" s="832" t="s">
        <v>1908</v>
      </c>
      <c r="B717" s="833"/>
      <c r="C717" s="833"/>
      <c r="D717" s="833"/>
      <c r="E717" s="833"/>
      <c r="F717" s="834"/>
      <c r="G717" s="90">
        <v>16.531879999999997</v>
      </c>
    </row>
    <row r="718" spans="1:11">
      <c r="A718" s="91"/>
      <c r="B718" s="92"/>
      <c r="C718" s="162"/>
      <c r="D718" s="92"/>
      <c r="E718" s="97"/>
      <c r="F718" s="98"/>
      <c r="G718" s="96"/>
    </row>
    <row r="719" spans="1:11">
      <c r="A719" s="835" t="s">
        <v>1912</v>
      </c>
      <c r="B719" s="836"/>
      <c r="C719" s="836"/>
      <c r="D719" s="836"/>
      <c r="E719" s="836"/>
      <c r="F719" s="836"/>
      <c r="G719" s="837"/>
    </row>
    <row r="720" spans="1:11">
      <c r="A720" s="84" t="s">
        <v>1903</v>
      </c>
      <c r="B720" s="84" t="s">
        <v>131</v>
      </c>
      <c r="C720" s="160" t="s">
        <v>1904</v>
      </c>
      <c r="D720" s="84" t="s">
        <v>167</v>
      </c>
      <c r="E720" s="85" t="s">
        <v>1905</v>
      </c>
      <c r="F720" s="86" t="s">
        <v>1906</v>
      </c>
      <c r="G720" s="86" t="s">
        <v>1907</v>
      </c>
    </row>
    <row r="721" spans="1:11">
      <c r="A721" s="87"/>
      <c r="B721" s="87"/>
      <c r="C721" s="278" t="s">
        <v>34</v>
      </c>
      <c r="D721" s="89" t="s">
        <v>34</v>
      </c>
      <c r="E721" s="88"/>
      <c r="F721" s="89" t="s">
        <v>34</v>
      </c>
      <c r="G721" s="89" t="s">
        <v>34</v>
      </c>
    </row>
    <row r="722" spans="1:11">
      <c r="A722" s="87"/>
      <c r="B722" s="87"/>
      <c r="C722" s="278" t="s">
        <v>34</v>
      </c>
      <c r="D722" s="89" t="s">
        <v>34</v>
      </c>
      <c r="E722" s="88"/>
      <c r="F722" s="89" t="s">
        <v>34</v>
      </c>
      <c r="G722" s="89" t="s">
        <v>34</v>
      </c>
    </row>
    <row r="723" spans="1:11">
      <c r="A723" s="832" t="s">
        <v>1908</v>
      </c>
      <c r="B723" s="833" t="s">
        <v>1908</v>
      </c>
      <c r="C723" s="833"/>
      <c r="D723" s="833"/>
      <c r="E723" s="833"/>
      <c r="F723" s="834"/>
      <c r="G723" s="90" t="s">
        <v>34</v>
      </c>
    </row>
    <row r="724" spans="1:11" ht="13.5" thickBot="1">
      <c r="A724" s="91"/>
      <c r="B724" s="92"/>
      <c r="C724" s="163"/>
      <c r="D724" s="99"/>
      <c r="E724" s="100"/>
      <c r="F724" s="101"/>
      <c r="G724" s="102"/>
    </row>
    <row r="725" spans="1:11" ht="13.5" thickBot="1">
      <c r="A725" s="838" t="s">
        <v>1259</v>
      </c>
      <c r="B725" s="839"/>
      <c r="C725" s="839"/>
      <c r="D725" s="839"/>
      <c r="E725" s="839"/>
      <c r="F725" s="840"/>
      <c r="G725" s="103">
        <f>SUM(G723,G717,G711)</f>
        <v>26.273069999999997</v>
      </c>
    </row>
    <row r="728" spans="1:11">
      <c r="A728" s="237" t="s">
        <v>131</v>
      </c>
      <c r="B728" s="190" t="s">
        <v>27</v>
      </c>
      <c r="C728" s="841" t="s">
        <v>1281</v>
      </c>
      <c r="D728" s="841"/>
      <c r="E728" s="841"/>
      <c r="F728" s="841"/>
      <c r="G728" s="81" t="s">
        <v>127</v>
      </c>
      <c r="I728" s="480" t="s">
        <v>1901</v>
      </c>
      <c r="J728" s="80"/>
      <c r="K728" s="80"/>
    </row>
    <row r="729" spans="1:11" ht="50.1" customHeight="1">
      <c r="A729" s="179" t="s">
        <v>437</v>
      </c>
      <c r="B729" s="82"/>
      <c r="C729" s="830" t="s">
        <v>438</v>
      </c>
      <c r="D729" s="831"/>
      <c r="E729" s="831"/>
      <c r="F729" s="186">
        <f>G749</f>
        <v>33.401559999999996</v>
      </c>
      <c r="G729" s="83" t="s">
        <v>167</v>
      </c>
      <c r="I729" s="481"/>
      <c r="J729" s="272"/>
      <c r="K729" s="272"/>
    </row>
    <row r="730" spans="1:11">
      <c r="A730" s="818" t="s">
        <v>1902</v>
      </c>
      <c r="B730" s="819"/>
      <c r="C730" s="819"/>
      <c r="D730" s="819"/>
      <c r="E730" s="819"/>
      <c r="F730" s="819"/>
      <c r="G730" s="820"/>
    </row>
    <row r="731" spans="1:11">
      <c r="A731" s="84" t="s">
        <v>1903</v>
      </c>
      <c r="B731" s="84" t="s">
        <v>131</v>
      </c>
      <c r="C731" s="160" t="s">
        <v>1904</v>
      </c>
      <c r="D731" s="84" t="s">
        <v>167</v>
      </c>
      <c r="E731" s="85" t="s">
        <v>1905</v>
      </c>
      <c r="F731" s="86" t="s">
        <v>1906</v>
      </c>
      <c r="G731" s="86" t="s">
        <v>1907</v>
      </c>
    </row>
    <row r="732" spans="1:11" ht="24">
      <c r="A732" s="87" t="s">
        <v>160</v>
      </c>
      <c r="B732" s="87" t="str">
        <f>'Mapa Cotações'!A32</f>
        <v>COT-0025</v>
      </c>
      <c r="C732" s="278" t="s">
        <v>438</v>
      </c>
      <c r="D732" s="89" t="s">
        <v>167</v>
      </c>
      <c r="E732" s="88">
        <v>1</v>
      </c>
      <c r="F732" s="89">
        <f>'Mapa Cotações'!M32</f>
        <v>24.93</v>
      </c>
      <c r="G732" s="89">
        <f t="shared" ref="G732:G734" si="2">F732*E732</f>
        <v>24.93</v>
      </c>
    </row>
    <row r="733" spans="1:11">
      <c r="A733" s="87" t="s">
        <v>2</v>
      </c>
      <c r="B733" s="87">
        <v>3148</v>
      </c>
      <c r="C733" s="278" t="s">
        <v>1956</v>
      </c>
      <c r="D733" s="89" t="s">
        <v>1930</v>
      </c>
      <c r="E733" s="88">
        <v>8.0000000000000002E-3</v>
      </c>
      <c r="F733" s="89">
        <v>12.76</v>
      </c>
      <c r="G733" s="89">
        <f t="shared" si="2"/>
        <v>0.10208</v>
      </c>
    </row>
    <row r="734" spans="1:11" ht="24">
      <c r="A734" s="87" t="s">
        <v>2</v>
      </c>
      <c r="B734" s="87">
        <v>7307</v>
      </c>
      <c r="C734" s="278" t="s">
        <v>1961</v>
      </c>
      <c r="D734" s="89" t="s">
        <v>1962</v>
      </c>
      <c r="E734" s="88">
        <v>2E-3</v>
      </c>
      <c r="F734" s="89">
        <v>51.77</v>
      </c>
      <c r="G734" s="89">
        <f t="shared" si="2"/>
        <v>0.10354000000000001</v>
      </c>
    </row>
    <row r="735" spans="1:11">
      <c r="A735" s="832" t="s">
        <v>1908</v>
      </c>
      <c r="B735" s="833"/>
      <c r="C735" s="833"/>
      <c r="D735" s="833"/>
      <c r="E735" s="833"/>
      <c r="F735" s="834"/>
      <c r="G735" s="90">
        <f>SUM(G732:G734)</f>
        <v>25.135619999999999</v>
      </c>
    </row>
    <row r="736" spans="1:11">
      <c r="A736" s="91"/>
      <c r="B736" s="92"/>
      <c r="C736" s="161"/>
      <c r="D736" s="93"/>
      <c r="E736" s="94"/>
      <c r="F736" s="95"/>
      <c r="G736" s="96"/>
    </row>
    <row r="737" spans="1:11">
      <c r="A737" s="835" t="s">
        <v>1909</v>
      </c>
      <c r="B737" s="836"/>
      <c r="C737" s="836"/>
      <c r="D737" s="836"/>
      <c r="E737" s="836"/>
      <c r="F737" s="836"/>
      <c r="G737" s="837"/>
    </row>
    <row r="738" spans="1:11">
      <c r="A738" s="84" t="s">
        <v>1903</v>
      </c>
      <c r="B738" s="84" t="s">
        <v>131</v>
      </c>
      <c r="C738" s="160" t="s">
        <v>1904</v>
      </c>
      <c r="D738" s="84" t="s">
        <v>167</v>
      </c>
      <c r="E738" s="85" t="s">
        <v>1905</v>
      </c>
      <c r="F738" s="86" t="s">
        <v>1906</v>
      </c>
      <c r="G738" s="86" t="s">
        <v>1907</v>
      </c>
    </row>
    <row r="739" spans="1:11" ht="24">
      <c r="A739" s="87" t="s">
        <v>2</v>
      </c>
      <c r="B739" s="87">
        <v>88248</v>
      </c>
      <c r="C739" s="278" t="s">
        <v>1947</v>
      </c>
      <c r="D739" s="89" t="s">
        <v>137</v>
      </c>
      <c r="E739" s="88">
        <v>0.17299999999999999</v>
      </c>
      <c r="F739" s="89">
        <v>21.45</v>
      </c>
      <c r="G739" s="89">
        <f t="shared" ref="G739:G740" si="3">F739*E739</f>
        <v>3.7108499999999998</v>
      </c>
    </row>
    <row r="740" spans="1:11" ht="24">
      <c r="A740" s="87" t="s">
        <v>2</v>
      </c>
      <c r="B740" s="87">
        <v>88267</v>
      </c>
      <c r="C740" s="278" t="s">
        <v>1949</v>
      </c>
      <c r="D740" s="89" t="s">
        <v>137</v>
      </c>
      <c r="E740" s="88">
        <v>0.17299999999999999</v>
      </c>
      <c r="F740" s="89">
        <v>26.33</v>
      </c>
      <c r="G740" s="89">
        <f t="shared" si="3"/>
        <v>4.555089999999999</v>
      </c>
    </row>
    <row r="741" spans="1:11">
      <c r="A741" s="832" t="s">
        <v>1908</v>
      </c>
      <c r="B741" s="833"/>
      <c r="C741" s="833"/>
      <c r="D741" s="833"/>
      <c r="E741" s="833"/>
      <c r="F741" s="834"/>
      <c r="G741" s="90">
        <v>8.2659399999999987</v>
      </c>
    </row>
    <row r="742" spans="1:11">
      <c r="A742" s="91"/>
      <c r="B742" s="92"/>
      <c r="C742" s="162"/>
      <c r="D742" s="92"/>
      <c r="E742" s="97"/>
      <c r="F742" s="98"/>
      <c r="G742" s="96"/>
    </row>
    <row r="743" spans="1:11">
      <c r="A743" s="835" t="s">
        <v>1912</v>
      </c>
      <c r="B743" s="836"/>
      <c r="C743" s="836"/>
      <c r="D743" s="836"/>
      <c r="E743" s="836"/>
      <c r="F743" s="836"/>
      <c r="G743" s="837"/>
    </row>
    <row r="744" spans="1:11">
      <c r="A744" s="84" t="s">
        <v>1903</v>
      </c>
      <c r="B744" s="84" t="s">
        <v>131</v>
      </c>
      <c r="C744" s="160" t="s">
        <v>1904</v>
      </c>
      <c r="D744" s="84" t="s">
        <v>167</v>
      </c>
      <c r="E744" s="85" t="s">
        <v>1905</v>
      </c>
      <c r="F744" s="86" t="s">
        <v>1906</v>
      </c>
      <c r="G744" s="86" t="s">
        <v>1907</v>
      </c>
    </row>
    <row r="745" spans="1:11">
      <c r="A745" s="87"/>
      <c r="B745" s="87"/>
      <c r="C745" s="278" t="s">
        <v>34</v>
      </c>
      <c r="D745" s="89" t="s">
        <v>34</v>
      </c>
      <c r="E745" s="88"/>
      <c r="F745" s="89" t="s">
        <v>34</v>
      </c>
      <c r="G745" s="89" t="s">
        <v>34</v>
      </c>
    </row>
    <row r="746" spans="1:11">
      <c r="A746" s="87"/>
      <c r="B746" s="87"/>
      <c r="C746" s="278" t="s">
        <v>34</v>
      </c>
      <c r="D746" s="89" t="s">
        <v>34</v>
      </c>
      <c r="E746" s="88"/>
      <c r="F746" s="89" t="s">
        <v>34</v>
      </c>
      <c r="G746" s="89" t="s">
        <v>34</v>
      </c>
    </row>
    <row r="747" spans="1:11">
      <c r="A747" s="832" t="s">
        <v>1908</v>
      </c>
      <c r="B747" s="833" t="s">
        <v>1908</v>
      </c>
      <c r="C747" s="833"/>
      <c r="D747" s="833"/>
      <c r="E747" s="833"/>
      <c r="F747" s="834"/>
      <c r="G747" s="90" t="s">
        <v>34</v>
      </c>
    </row>
    <row r="748" spans="1:11" ht="13.5" thickBot="1">
      <c r="A748" s="91"/>
      <c r="B748" s="92"/>
      <c r="C748" s="163"/>
      <c r="D748" s="99"/>
      <c r="E748" s="100"/>
      <c r="F748" s="101"/>
      <c r="G748" s="102"/>
    </row>
    <row r="749" spans="1:11" ht="13.5" thickBot="1">
      <c r="A749" s="838" t="s">
        <v>1259</v>
      </c>
      <c r="B749" s="839"/>
      <c r="C749" s="839"/>
      <c r="D749" s="839"/>
      <c r="E749" s="839"/>
      <c r="F749" s="840"/>
      <c r="G749" s="103">
        <f>SUM(G747,G741,G735)</f>
        <v>33.401559999999996</v>
      </c>
    </row>
    <row r="752" spans="1:11">
      <c r="A752" s="237" t="s">
        <v>131</v>
      </c>
      <c r="B752" s="190" t="s">
        <v>27</v>
      </c>
      <c r="C752" s="841" t="s">
        <v>1281</v>
      </c>
      <c r="D752" s="841"/>
      <c r="E752" s="841"/>
      <c r="F752" s="841"/>
      <c r="G752" s="81" t="s">
        <v>127</v>
      </c>
      <c r="I752" s="480" t="s">
        <v>1901</v>
      </c>
      <c r="J752" s="80"/>
      <c r="K752" s="80"/>
    </row>
    <row r="753" spans="1:11" ht="50.1" customHeight="1">
      <c r="A753" s="179" t="s">
        <v>443</v>
      </c>
      <c r="B753" s="82"/>
      <c r="C753" s="830" t="s">
        <v>444</v>
      </c>
      <c r="D753" s="831"/>
      <c r="E753" s="831"/>
      <c r="F753" s="186">
        <f>G773</f>
        <v>37.610640000000004</v>
      </c>
      <c r="G753" s="83" t="s">
        <v>167</v>
      </c>
      <c r="I753" s="481"/>
      <c r="J753" s="272"/>
      <c r="K753" s="272"/>
    </row>
    <row r="754" spans="1:11">
      <c r="A754" s="818" t="s">
        <v>1902</v>
      </c>
      <c r="B754" s="819"/>
      <c r="C754" s="819"/>
      <c r="D754" s="819"/>
      <c r="E754" s="819"/>
      <c r="F754" s="819"/>
      <c r="G754" s="820"/>
    </row>
    <row r="755" spans="1:11">
      <c r="A755" s="84" t="s">
        <v>1903</v>
      </c>
      <c r="B755" s="84" t="s">
        <v>131</v>
      </c>
      <c r="C755" s="160" t="s">
        <v>1904</v>
      </c>
      <c r="D755" s="84" t="s">
        <v>167</v>
      </c>
      <c r="E755" s="85" t="s">
        <v>1905</v>
      </c>
      <c r="F755" s="86" t="s">
        <v>1906</v>
      </c>
      <c r="G755" s="86" t="s">
        <v>1907</v>
      </c>
    </row>
    <row r="756" spans="1:11" ht="24">
      <c r="A756" s="87" t="s">
        <v>1917</v>
      </c>
      <c r="B756" s="87" t="s">
        <v>1963</v>
      </c>
      <c r="C756" s="278" t="s">
        <v>444</v>
      </c>
      <c r="D756" s="89" t="s">
        <v>167</v>
      </c>
      <c r="E756" s="88">
        <v>1</v>
      </c>
      <c r="F756" s="89">
        <f>'Mapa Cotações'!M33</f>
        <v>25.03</v>
      </c>
      <c r="G756" s="89">
        <f t="shared" ref="G756:G758" si="4">F756*E756</f>
        <v>25.03</v>
      </c>
    </row>
    <row r="757" spans="1:11">
      <c r="A757" s="87" t="s">
        <v>2</v>
      </c>
      <c r="B757" s="87">
        <v>3148</v>
      </c>
      <c r="C757" s="278" t="s">
        <v>1956</v>
      </c>
      <c r="D757" s="89" t="s">
        <v>1930</v>
      </c>
      <c r="E757" s="88">
        <v>8.0000000000000002E-3</v>
      </c>
      <c r="F757" s="89">
        <v>12.76</v>
      </c>
      <c r="G757" s="89">
        <f t="shared" si="4"/>
        <v>0.10208</v>
      </c>
    </row>
    <row r="758" spans="1:11" ht="24">
      <c r="A758" s="87" t="s">
        <v>2</v>
      </c>
      <c r="B758" s="87">
        <v>7307</v>
      </c>
      <c r="C758" s="278" t="s">
        <v>1961</v>
      </c>
      <c r="D758" s="89" t="s">
        <v>1962</v>
      </c>
      <c r="E758" s="88">
        <v>2E-3</v>
      </c>
      <c r="F758" s="89">
        <v>51.77</v>
      </c>
      <c r="G758" s="89">
        <f t="shared" si="4"/>
        <v>0.10354000000000001</v>
      </c>
    </row>
    <row r="759" spans="1:11">
      <c r="A759" s="832" t="s">
        <v>1908</v>
      </c>
      <c r="B759" s="833"/>
      <c r="C759" s="833"/>
      <c r="D759" s="833"/>
      <c r="E759" s="833"/>
      <c r="F759" s="834"/>
      <c r="G759" s="90">
        <f>SUM(G756:G758)</f>
        <v>25.235620000000001</v>
      </c>
    </row>
    <row r="760" spans="1:11">
      <c r="A760" s="91"/>
      <c r="B760" s="92"/>
      <c r="C760" s="161"/>
      <c r="D760" s="93"/>
      <c r="E760" s="94"/>
      <c r="F760" s="95"/>
      <c r="G760" s="96"/>
    </row>
    <row r="761" spans="1:11">
      <c r="A761" s="835" t="s">
        <v>1909</v>
      </c>
      <c r="B761" s="836"/>
      <c r="C761" s="836"/>
      <c r="D761" s="836"/>
      <c r="E761" s="836"/>
      <c r="F761" s="836"/>
      <c r="G761" s="837"/>
    </row>
    <row r="762" spans="1:11">
      <c r="A762" s="84" t="s">
        <v>1903</v>
      </c>
      <c r="B762" s="84" t="s">
        <v>131</v>
      </c>
      <c r="C762" s="160" t="s">
        <v>1904</v>
      </c>
      <c r="D762" s="84" t="s">
        <v>167</v>
      </c>
      <c r="E762" s="85" t="s">
        <v>1905</v>
      </c>
      <c r="F762" s="86" t="s">
        <v>1906</v>
      </c>
      <c r="G762" s="86" t="s">
        <v>1907</v>
      </c>
    </row>
    <row r="763" spans="1:11" ht="24">
      <c r="A763" s="87" t="s">
        <v>2</v>
      </c>
      <c r="B763" s="87">
        <v>88248</v>
      </c>
      <c r="C763" s="278" t="s">
        <v>1947</v>
      </c>
      <c r="D763" s="89" t="s">
        <v>137</v>
      </c>
      <c r="E763" s="88">
        <v>0.25900000000000001</v>
      </c>
      <c r="F763" s="89">
        <v>21.45</v>
      </c>
      <c r="G763" s="89">
        <v>5.5555500000000002</v>
      </c>
    </row>
    <row r="764" spans="1:11" ht="24">
      <c r="A764" s="87" t="s">
        <v>2</v>
      </c>
      <c r="B764" s="87">
        <v>88267</v>
      </c>
      <c r="C764" s="278" t="s">
        <v>1949</v>
      </c>
      <c r="D764" s="89" t="s">
        <v>137</v>
      </c>
      <c r="E764" s="88">
        <v>0.25900000000000001</v>
      </c>
      <c r="F764" s="89">
        <v>26.33</v>
      </c>
      <c r="G764" s="89">
        <v>6.8194699999999999</v>
      </c>
    </row>
    <row r="765" spans="1:11">
      <c r="A765" s="832" t="s">
        <v>1908</v>
      </c>
      <c r="B765" s="833"/>
      <c r="C765" s="833"/>
      <c r="D765" s="833"/>
      <c r="E765" s="833"/>
      <c r="F765" s="834"/>
      <c r="G765" s="90">
        <v>12.375019999999999</v>
      </c>
    </row>
    <row r="766" spans="1:11">
      <c r="A766" s="91"/>
      <c r="B766" s="92"/>
      <c r="C766" s="162"/>
      <c r="D766" s="92"/>
      <c r="E766" s="97"/>
      <c r="F766" s="98"/>
      <c r="G766" s="96"/>
    </row>
    <row r="767" spans="1:11">
      <c r="A767" s="835" t="s">
        <v>1912</v>
      </c>
      <c r="B767" s="836"/>
      <c r="C767" s="836"/>
      <c r="D767" s="836"/>
      <c r="E767" s="836"/>
      <c r="F767" s="836"/>
      <c r="G767" s="837"/>
    </row>
    <row r="768" spans="1:11">
      <c r="A768" s="84" t="s">
        <v>1903</v>
      </c>
      <c r="B768" s="84" t="s">
        <v>131</v>
      </c>
      <c r="C768" s="160" t="s">
        <v>1904</v>
      </c>
      <c r="D768" s="84" t="s">
        <v>167</v>
      </c>
      <c r="E768" s="85" t="s">
        <v>1905</v>
      </c>
      <c r="F768" s="86" t="s">
        <v>1906</v>
      </c>
      <c r="G768" s="86" t="s">
        <v>1907</v>
      </c>
    </row>
    <row r="769" spans="1:11">
      <c r="A769" s="87"/>
      <c r="B769" s="87"/>
      <c r="C769" s="278" t="s">
        <v>34</v>
      </c>
      <c r="D769" s="89" t="s">
        <v>34</v>
      </c>
      <c r="E769" s="88"/>
      <c r="F769" s="89" t="s">
        <v>34</v>
      </c>
      <c r="G769" s="89" t="s">
        <v>34</v>
      </c>
    </row>
    <row r="770" spans="1:11">
      <c r="A770" s="87"/>
      <c r="B770" s="87"/>
      <c r="C770" s="278" t="s">
        <v>34</v>
      </c>
      <c r="D770" s="89" t="s">
        <v>34</v>
      </c>
      <c r="E770" s="88"/>
      <c r="F770" s="89" t="s">
        <v>34</v>
      </c>
      <c r="G770" s="89" t="s">
        <v>34</v>
      </c>
    </row>
    <row r="771" spans="1:11">
      <c r="A771" s="832" t="s">
        <v>1908</v>
      </c>
      <c r="B771" s="833" t="s">
        <v>1908</v>
      </c>
      <c r="C771" s="833"/>
      <c r="D771" s="833"/>
      <c r="E771" s="833"/>
      <c r="F771" s="834"/>
      <c r="G771" s="90" t="s">
        <v>34</v>
      </c>
    </row>
    <row r="772" spans="1:11" ht="13.5" thickBot="1">
      <c r="A772" s="91"/>
      <c r="B772" s="92"/>
      <c r="C772" s="163"/>
      <c r="D772" s="99"/>
      <c r="E772" s="100"/>
      <c r="F772" s="101"/>
      <c r="G772" s="102"/>
    </row>
    <row r="773" spans="1:11" ht="13.5" thickBot="1">
      <c r="A773" s="838" t="s">
        <v>1259</v>
      </c>
      <c r="B773" s="839"/>
      <c r="C773" s="839"/>
      <c r="D773" s="839"/>
      <c r="E773" s="839"/>
      <c r="F773" s="840"/>
      <c r="G773" s="103">
        <f>SUM(G771,G765,G759)</f>
        <v>37.610640000000004</v>
      </c>
    </row>
    <row r="776" spans="1:11">
      <c r="A776" s="237" t="s">
        <v>131</v>
      </c>
      <c r="B776" s="190" t="s">
        <v>27</v>
      </c>
      <c r="C776" s="841" t="s">
        <v>1281</v>
      </c>
      <c r="D776" s="841"/>
      <c r="E776" s="841"/>
      <c r="F776" s="841"/>
      <c r="G776" s="81" t="s">
        <v>127</v>
      </c>
      <c r="I776" s="480" t="s">
        <v>1901</v>
      </c>
      <c r="J776" s="80"/>
      <c r="K776" s="80"/>
    </row>
    <row r="777" spans="1:11" ht="50.1" customHeight="1">
      <c r="A777" s="179" t="s">
        <v>448</v>
      </c>
      <c r="B777" s="82"/>
      <c r="C777" s="830" t="s">
        <v>1551</v>
      </c>
      <c r="D777" s="831"/>
      <c r="E777" s="831"/>
      <c r="F777" s="186">
        <f>G804</f>
        <v>4135.4757521499996</v>
      </c>
      <c r="G777" s="83" t="s">
        <v>180</v>
      </c>
      <c r="I777" s="481"/>
      <c r="J777" s="272"/>
      <c r="K777" s="272"/>
    </row>
    <row r="778" spans="1:11">
      <c r="A778" s="818" t="s">
        <v>1902</v>
      </c>
      <c r="B778" s="819"/>
      <c r="C778" s="819"/>
      <c r="D778" s="819"/>
      <c r="E778" s="819"/>
      <c r="F778" s="819"/>
      <c r="G778" s="820"/>
    </row>
    <row r="779" spans="1:11">
      <c r="A779" s="84" t="s">
        <v>1903</v>
      </c>
      <c r="B779" s="84" t="s">
        <v>131</v>
      </c>
      <c r="C779" s="160" t="s">
        <v>1904</v>
      </c>
      <c r="D779" s="84" t="s">
        <v>167</v>
      </c>
      <c r="E779" s="85" t="s">
        <v>1905</v>
      </c>
      <c r="F779" s="86" t="s">
        <v>1906</v>
      </c>
      <c r="G779" s="86" t="s">
        <v>1907</v>
      </c>
    </row>
    <row r="780" spans="1:11" ht="24">
      <c r="A780" s="87" t="s">
        <v>1917</v>
      </c>
      <c r="B780" s="87" t="s">
        <v>1964</v>
      </c>
      <c r="C780" s="278" t="s">
        <v>1551</v>
      </c>
      <c r="D780" s="89" t="s">
        <v>180</v>
      </c>
      <c r="E780" s="88">
        <v>1.0389999999999999</v>
      </c>
      <c r="F780" s="89">
        <f>'Mapa Cotações'!M34</f>
        <v>3428.75</v>
      </c>
      <c r="G780" s="89">
        <f>F780*E780</f>
        <v>3562.4712499999996</v>
      </c>
    </row>
    <row r="781" spans="1:11" ht="24">
      <c r="A781" s="87" t="s">
        <v>2</v>
      </c>
      <c r="B781" s="87">
        <v>10997</v>
      </c>
      <c r="C781" s="278" t="s">
        <v>1965</v>
      </c>
      <c r="D781" s="89" t="s">
        <v>1171</v>
      </c>
      <c r="E781" s="88">
        <v>7.8106999999999996E-2</v>
      </c>
      <c r="F781" s="89">
        <v>55.77</v>
      </c>
      <c r="G781" s="89">
        <f>F781*E781</f>
        <v>4.3560273900000004</v>
      </c>
    </row>
    <row r="782" spans="1:11" ht="60">
      <c r="A782" s="87" t="s">
        <v>3</v>
      </c>
      <c r="B782" s="87" t="s">
        <v>1966</v>
      </c>
      <c r="C782" s="278" t="s">
        <v>1967</v>
      </c>
      <c r="D782" s="89" t="s">
        <v>180</v>
      </c>
      <c r="E782" s="88">
        <v>0.9</v>
      </c>
      <c r="F782" s="89">
        <v>15.97</v>
      </c>
      <c r="G782" s="89">
        <f>IF(D782="","",E782*F782)</f>
        <v>14.373000000000001</v>
      </c>
    </row>
    <row r="783" spans="1:11" ht="37.5" customHeight="1">
      <c r="A783" s="87" t="s">
        <v>1917</v>
      </c>
      <c r="B783" s="87" t="str">
        <f>'Mapa Cotações'!A182</f>
        <v>COT-0189</v>
      </c>
      <c r="C783" s="278" t="str">
        <f>'Mapa Cotações'!B182</f>
        <v>CALHA EM POLIESTIRENO (ISOPOR) EXPANDIDO, AUTO EXTINGUÍVEL, GRAU F1, COM 2" DE ESPESSURA - DIAMETRO = 10" (TUBO DE EPS-T2-F(densidade de 11 a 13
kg/m³) 1000x355,6x355,6(254 int/50,8par))</v>
      </c>
      <c r="D783" s="89" t="s">
        <v>180</v>
      </c>
      <c r="E783" s="88">
        <v>1.0389999999999999</v>
      </c>
      <c r="F783" s="89">
        <f>'Mapa Cotações'!M182</f>
        <v>128.32</v>
      </c>
      <c r="G783" s="89">
        <f t="shared" ref="G783:G788" si="5">F783*E783</f>
        <v>133.32447999999999</v>
      </c>
    </row>
    <row r="784" spans="1:11">
      <c r="A784" s="87" t="s">
        <v>1917</v>
      </c>
      <c r="B784" s="87" t="s">
        <v>1968</v>
      </c>
      <c r="C784" s="278" t="str">
        <f>'Mapa Cotações'!B179</f>
        <v>FRIO ASFALTO 20KG COM RENDIMENTO PARA 10M²</v>
      </c>
      <c r="D784" s="89" t="s">
        <v>167</v>
      </c>
      <c r="E784" s="88">
        <v>0.11171499999999999</v>
      </c>
      <c r="F784" s="89">
        <f>'Mapa Cotações'!M179</f>
        <v>406.02</v>
      </c>
      <c r="G784" s="89">
        <f t="shared" si="5"/>
        <v>45.358524299999999</v>
      </c>
    </row>
    <row r="785" spans="1:7">
      <c r="A785" s="87" t="s">
        <v>1917</v>
      </c>
      <c r="B785" s="87" t="str">
        <f>'Mapa Cotações'!A181</f>
        <v>COT-0188</v>
      </c>
      <c r="C785" s="278" t="str">
        <f>'Mapa Cotações'!B181</f>
        <v>TECIDO MORIM BRANCO 100 X 80CM</v>
      </c>
      <c r="D785" s="89" t="s">
        <v>167</v>
      </c>
      <c r="E785" s="88">
        <v>1.3964380000000001</v>
      </c>
      <c r="F785" s="89">
        <f>'Mapa Cotações'!M181</f>
        <v>31.47</v>
      </c>
      <c r="G785" s="89">
        <f t="shared" si="5"/>
        <v>43.945903860000001</v>
      </c>
    </row>
    <row r="786" spans="1:7" ht="29.25" customHeight="1">
      <c r="A786" s="87" t="s">
        <v>1917</v>
      </c>
      <c r="B786" s="87" t="str">
        <f>'Mapa Cotações'!A180</f>
        <v>COT-0187</v>
      </c>
      <c r="C786" s="278" t="str">
        <f>'Mapa Cotações'!B180</f>
        <v>ALUMINIO CORRUGADO ESPESSURA 0,15, COM BARREIRA (ROLO 50M)</v>
      </c>
      <c r="D786" s="89" t="s">
        <v>180</v>
      </c>
      <c r="E786" s="88">
        <v>2.2342999999999998E-2</v>
      </c>
      <c r="F786" s="89">
        <f>'Mapa Cotações'!M180</f>
        <v>1499.2</v>
      </c>
      <c r="G786" s="89">
        <f t="shared" si="5"/>
        <v>33.496625600000002</v>
      </c>
    </row>
    <row r="787" spans="1:7">
      <c r="A787" s="87" t="s">
        <v>1917</v>
      </c>
      <c r="B787" s="87" t="str">
        <f>'Mapa Cotações'!A191</f>
        <v>COT-0198</v>
      </c>
      <c r="C787" s="278" t="str">
        <f>'Mapa Cotações'!B191</f>
        <v>FITA ADESIVA ALUMINIO MPU 50mmX50M</v>
      </c>
      <c r="D787" s="89" t="s">
        <v>180</v>
      </c>
      <c r="E787" s="88">
        <v>7.9699999999999993E-2</v>
      </c>
      <c r="F787" s="89">
        <f>'Mapa Cotações'!M191</f>
        <v>99.53</v>
      </c>
      <c r="G787" s="89">
        <f t="shared" si="5"/>
        <v>7.9325409999999996</v>
      </c>
    </row>
    <row r="788" spans="1:7">
      <c r="A788" s="87" t="s">
        <v>1917</v>
      </c>
      <c r="B788" s="87" t="str">
        <f>'Mapa Cotações'!A192</f>
        <v>COT-0199</v>
      </c>
      <c r="C788" s="278" t="s">
        <v>1969</v>
      </c>
      <c r="D788" s="89" t="s">
        <v>167</v>
      </c>
      <c r="E788" s="88">
        <v>0.03</v>
      </c>
      <c r="F788" s="89">
        <f>'Mapa Cotações'!M192</f>
        <v>46.24</v>
      </c>
      <c r="G788" s="89">
        <f t="shared" si="5"/>
        <v>1.3872</v>
      </c>
    </row>
    <row r="789" spans="1:7">
      <c r="A789" s="832" t="s">
        <v>1908</v>
      </c>
      <c r="B789" s="833"/>
      <c r="C789" s="833"/>
      <c r="D789" s="833"/>
      <c r="E789" s="833"/>
      <c r="F789" s="834"/>
      <c r="G789" s="90">
        <f>SUM(G780:I788)</f>
        <v>3846.6455521499993</v>
      </c>
    </row>
    <row r="790" spans="1:7">
      <c r="A790" s="91"/>
      <c r="B790" s="92"/>
      <c r="C790" s="161"/>
      <c r="D790" s="93"/>
      <c r="E790" s="94"/>
      <c r="F790" s="95"/>
      <c r="G790" s="96"/>
    </row>
    <row r="791" spans="1:7">
      <c r="A791" s="835" t="s">
        <v>1909</v>
      </c>
      <c r="B791" s="836"/>
      <c r="C791" s="836"/>
      <c r="D791" s="836"/>
      <c r="E791" s="836"/>
      <c r="F791" s="836"/>
      <c r="G791" s="837"/>
    </row>
    <row r="792" spans="1:7">
      <c r="A792" s="84" t="s">
        <v>1903</v>
      </c>
      <c r="B792" s="84" t="s">
        <v>131</v>
      </c>
      <c r="C792" s="160" t="s">
        <v>1904</v>
      </c>
      <c r="D792" s="84" t="s">
        <v>167</v>
      </c>
      <c r="E792" s="85" t="s">
        <v>1905</v>
      </c>
      <c r="F792" s="86" t="s">
        <v>1906</v>
      </c>
      <c r="G792" s="86" t="s">
        <v>1907</v>
      </c>
    </row>
    <row r="793" spans="1:7" ht="24">
      <c r="A793" s="87" t="s">
        <v>2</v>
      </c>
      <c r="B793" s="87">
        <v>88248</v>
      </c>
      <c r="C793" s="278" t="s">
        <v>1947</v>
      </c>
      <c r="D793" s="89" t="s">
        <v>137</v>
      </c>
      <c r="E793" s="88">
        <v>3.8200000000000003</v>
      </c>
      <c r="F793" s="89">
        <v>21.45</v>
      </c>
      <c r="G793" s="89">
        <f>F793*E793</f>
        <v>81.939000000000007</v>
      </c>
    </row>
    <row r="794" spans="1:7" ht="24">
      <c r="A794" s="87" t="s">
        <v>2</v>
      </c>
      <c r="B794" s="87">
        <v>88267</v>
      </c>
      <c r="C794" s="278" t="s">
        <v>1949</v>
      </c>
      <c r="D794" s="89" t="s">
        <v>137</v>
      </c>
      <c r="E794" s="88">
        <v>3.8200000000000003</v>
      </c>
      <c r="F794" s="89">
        <v>26.33</v>
      </c>
      <c r="G794" s="89">
        <f>F794*E794</f>
        <v>100.5806</v>
      </c>
    </row>
    <row r="795" spans="1:7">
      <c r="A795" s="87" t="s">
        <v>2</v>
      </c>
      <c r="B795" s="87">
        <v>88317</v>
      </c>
      <c r="C795" s="278" t="s">
        <v>1970</v>
      </c>
      <c r="D795" s="89" t="s">
        <v>137</v>
      </c>
      <c r="E795" s="88">
        <v>3.8200000000000003</v>
      </c>
      <c r="F795" s="89">
        <v>27.83</v>
      </c>
      <c r="G795" s="89">
        <f>F795*E795</f>
        <v>106.31060000000001</v>
      </c>
    </row>
    <row r="796" spans="1:7">
      <c r="A796" s="832" t="s">
        <v>1908</v>
      </c>
      <c r="B796" s="833"/>
      <c r="C796" s="833"/>
      <c r="D796" s="833"/>
      <c r="E796" s="833"/>
      <c r="F796" s="834"/>
      <c r="G796" s="90">
        <f>SUM(G793:G795)</f>
        <v>288.83020000000005</v>
      </c>
    </row>
    <row r="797" spans="1:7">
      <c r="A797" s="91"/>
      <c r="B797" s="92"/>
      <c r="C797" s="162"/>
      <c r="D797" s="92"/>
      <c r="E797" s="97"/>
      <c r="F797" s="98"/>
      <c r="G797" s="96"/>
    </row>
    <row r="798" spans="1:7">
      <c r="A798" s="835" t="s">
        <v>1912</v>
      </c>
      <c r="B798" s="836"/>
      <c r="C798" s="836"/>
      <c r="D798" s="836"/>
      <c r="E798" s="836"/>
      <c r="F798" s="836"/>
      <c r="G798" s="837"/>
    </row>
    <row r="799" spans="1:7">
      <c r="A799" s="84" t="s">
        <v>1903</v>
      </c>
      <c r="B799" s="84" t="s">
        <v>131</v>
      </c>
      <c r="C799" s="160" t="s">
        <v>1904</v>
      </c>
      <c r="D799" s="84" t="s">
        <v>167</v>
      </c>
      <c r="E799" s="85" t="s">
        <v>1905</v>
      </c>
      <c r="F799" s="86" t="s">
        <v>1906</v>
      </c>
      <c r="G799" s="86" t="s">
        <v>1907</v>
      </c>
    </row>
    <row r="800" spans="1:7">
      <c r="A800" s="87"/>
      <c r="B800" s="87"/>
      <c r="C800" s="278"/>
      <c r="D800" s="89" t="s">
        <v>34</v>
      </c>
      <c r="E800" s="88"/>
      <c r="F800" s="89" t="s">
        <v>34</v>
      </c>
      <c r="G800" s="89" t="s">
        <v>34</v>
      </c>
    </row>
    <row r="801" spans="1:11">
      <c r="A801" s="87"/>
      <c r="B801" s="87"/>
      <c r="C801" s="278" t="s">
        <v>34</v>
      </c>
      <c r="D801" s="89" t="s">
        <v>34</v>
      </c>
      <c r="E801" s="88"/>
      <c r="F801" s="89" t="s">
        <v>34</v>
      </c>
      <c r="G801" s="89" t="s">
        <v>34</v>
      </c>
    </row>
    <row r="802" spans="1:11">
      <c r="A802" s="832" t="s">
        <v>1908</v>
      </c>
      <c r="B802" s="833" t="s">
        <v>1908</v>
      </c>
      <c r="C802" s="833"/>
      <c r="D802" s="833"/>
      <c r="E802" s="833"/>
      <c r="F802" s="834"/>
      <c r="G802" s="90" t="s">
        <v>34</v>
      </c>
    </row>
    <row r="803" spans="1:11" ht="13.5" thickBot="1">
      <c r="A803" s="91"/>
      <c r="B803" s="92"/>
      <c r="C803" s="163"/>
      <c r="D803" s="99"/>
      <c r="E803" s="100"/>
      <c r="F803" s="101"/>
      <c r="G803" s="102"/>
    </row>
    <row r="804" spans="1:11" ht="13.5" thickBot="1">
      <c r="A804" s="838" t="s">
        <v>1259</v>
      </c>
      <c r="B804" s="839"/>
      <c r="C804" s="839"/>
      <c r="D804" s="839"/>
      <c r="E804" s="839"/>
      <c r="F804" s="840"/>
      <c r="G804" s="103">
        <f>SUM(G802,G796,G789)</f>
        <v>4135.4757521499996</v>
      </c>
    </row>
    <row r="807" spans="1:11">
      <c r="A807" s="237" t="s">
        <v>131</v>
      </c>
      <c r="B807" s="190" t="s">
        <v>27</v>
      </c>
      <c r="C807" s="841" t="s">
        <v>1281</v>
      </c>
      <c r="D807" s="841"/>
      <c r="E807" s="841"/>
      <c r="F807" s="841"/>
      <c r="G807" s="81" t="s">
        <v>127</v>
      </c>
      <c r="I807" s="480" t="s">
        <v>1901</v>
      </c>
      <c r="J807" s="80"/>
      <c r="K807" s="80"/>
    </row>
    <row r="808" spans="1:11" ht="50.1" customHeight="1">
      <c r="A808" s="179" t="s">
        <v>451</v>
      </c>
      <c r="B808" s="82"/>
      <c r="C808" s="830" t="s">
        <v>1553</v>
      </c>
      <c r="D808" s="831"/>
      <c r="E808" s="831"/>
      <c r="F808" s="186">
        <f>G835</f>
        <v>1450.6598127499999</v>
      </c>
      <c r="G808" s="83" t="s">
        <v>180</v>
      </c>
      <c r="I808" s="481"/>
      <c r="J808" s="272"/>
      <c r="K808" s="272"/>
    </row>
    <row r="809" spans="1:11">
      <c r="A809" s="818" t="s">
        <v>1902</v>
      </c>
      <c r="B809" s="819"/>
      <c r="C809" s="819"/>
      <c r="D809" s="819"/>
      <c r="E809" s="819"/>
      <c r="F809" s="819"/>
      <c r="G809" s="820"/>
    </row>
    <row r="810" spans="1:11">
      <c r="A810" s="84" t="s">
        <v>1903</v>
      </c>
      <c r="B810" s="84" t="s">
        <v>131</v>
      </c>
      <c r="C810" s="160" t="s">
        <v>1904</v>
      </c>
      <c r="D810" s="84" t="s">
        <v>167</v>
      </c>
      <c r="E810" s="85" t="s">
        <v>1905</v>
      </c>
      <c r="F810" s="86" t="s">
        <v>1906</v>
      </c>
      <c r="G810" s="86" t="s">
        <v>1907</v>
      </c>
    </row>
    <row r="811" spans="1:11" ht="24">
      <c r="A811" s="87" t="s">
        <v>2</v>
      </c>
      <c r="B811" s="87">
        <v>7661</v>
      </c>
      <c r="C811" s="278" t="s">
        <v>1971</v>
      </c>
      <c r="D811" s="89" t="s">
        <v>1944</v>
      </c>
      <c r="E811" s="88">
        <v>1.0389999999999999</v>
      </c>
      <c r="F811" s="89">
        <v>942.64</v>
      </c>
      <c r="G811" s="89">
        <v>979.40295999999989</v>
      </c>
    </row>
    <row r="812" spans="1:11" ht="24">
      <c r="A812" s="87" t="s">
        <v>2</v>
      </c>
      <c r="B812" s="87">
        <v>10997</v>
      </c>
      <c r="C812" s="278" t="s">
        <v>1965</v>
      </c>
      <c r="D812" s="89" t="s">
        <v>1171</v>
      </c>
      <c r="E812" s="88">
        <v>6.2486E-2</v>
      </c>
      <c r="F812" s="89">
        <v>55.77</v>
      </c>
      <c r="G812" s="89">
        <f>F812*E812</f>
        <v>3.4848442200000003</v>
      </c>
    </row>
    <row r="813" spans="1:11" ht="60">
      <c r="A813" s="87" t="s">
        <v>3</v>
      </c>
      <c r="B813" s="87" t="s">
        <v>1966</v>
      </c>
      <c r="C813" s="278" t="s">
        <v>1967</v>
      </c>
      <c r="D813" s="89" t="s">
        <v>180</v>
      </c>
      <c r="E813" s="88">
        <v>0.85</v>
      </c>
      <c r="F813" s="89">
        <v>15.97</v>
      </c>
      <c r="G813" s="89">
        <f>IF(D813="","",E813*F813)</f>
        <v>13.5745</v>
      </c>
    </row>
    <row r="814" spans="1:11" ht="48">
      <c r="A814" s="87" t="s">
        <v>1917</v>
      </c>
      <c r="B814" s="87" t="str">
        <f>'Mapa Cotações'!A183</f>
        <v>COT-0190</v>
      </c>
      <c r="C814" s="278" t="str">
        <f>'Mapa Cotações'!B183</f>
        <v>CALHA EM POLIESTIRENO (ISOPOR) EXPANDIDO, AUTO EXTINGUÍVEL, GRAU F1,COM 2" DE ESPESSURA - DIÂMETRO = 8" (TUBO DE EPS-T2-F(densidade de 11 a 13
kg/m³) 1000x304,8x304,8(203,2int/50,8par))</v>
      </c>
      <c r="D814" s="89" t="s">
        <v>180</v>
      </c>
      <c r="E814" s="88">
        <v>1.0389999999999999</v>
      </c>
      <c r="F814" s="89">
        <f>'Mapa Cotações'!M183</f>
        <v>105</v>
      </c>
      <c r="G814" s="89">
        <f t="shared" ref="G814:G819" si="6">F814*E814</f>
        <v>109.095</v>
      </c>
    </row>
    <row r="815" spans="1:11">
      <c r="A815" s="87" t="s">
        <v>1917</v>
      </c>
      <c r="B815" s="87" t="s">
        <v>1968</v>
      </c>
      <c r="C815" s="278" t="s">
        <v>1972</v>
      </c>
      <c r="D815" s="89" t="s">
        <v>167</v>
      </c>
      <c r="E815" s="88">
        <v>9.5755999999999994E-2</v>
      </c>
      <c r="F815" s="89">
        <v>406.02</v>
      </c>
      <c r="G815" s="89">
        <f t="shared" si="6"/>
        <v>38.878851119999993</v>
      </c>
    </row>
    <row r="816" spans="1:11">
      <c r="A816" s="87" t="s">
        <v>1917</v>
      </c>
      <c r="B816" s="87" t="s">
        <v>1973</v>
      </c>
      <c r="C816" s="278" t="s">
        <v>1974</v>
      </c>
      <c r="D816" s="89" t="s">
        <v>167</v>
      </c>
      <c r="E816" s="88">
        <v>1.196947</v>
      </c>
      <c r="F816" s="89">
        <v>31.47</v>
      </c>
      <c r="G816" s="89">
        <f t="shared" si="6"/>
        <v>37.667922089999998</v>
      </c>
    </row>
    <row r="817" spans="1:7" ht="24">
      <c r="A817" s="87" t="s">
        <v>1917</v>
      </c>
      <c r="B817" s="87" t="s">
        <v>1975</v>
      </c>
      <c r="C817" s="278" t="s">
        <v>1976</v>
      </c>
      <c r="D817" s="89" t="s">
        <v>180</v>
      </c>
      <c r="E817" s="88">
        <v>1.9151000000000001E-2</v>
      </c>
      <c r="F817" s="89">
        <v>1499.2</v>
      </c>
      <c r="G817" s="89">
        <f t="shared" si="6"/>
        <v>28.711179200000004</v>
      </c>
    </row>
    <row r="818" spans="1:7">
      <c r="A818" s="87" t="s">
        <v>1917</v>
      </c>
      <c r="B818" s="87" t="s">
        <v>1977</v>
      </c>
      <c r="C818" s="278" t="s">
        <v>1978</v>
      </c>
      <c r="D818" s="89" t="s">
        <v>180</v>
      </c>
      <c r="E818" s="88">
        <f>E817*4</f>
        <v>7.6604000000000005E-2</v>
      </c>
      <c r="F818" s="89">
        <v>99.53</v>
      </c>
      <c r="G818" s="89">
        <f t="shared" si="6"/>
        <v>7.624396120000001</v>
      </c>
    </row>
    <row r="819" spans="1:7">
      <c r="A819" s="87" t="s">
        <v>1917</v>
      </c>
      <c r="B819" s="87" t="s">
        <v>1979</v>
      </c>
      <c r="C819" s="278" t="s">
        <v>1969</v>
      </c>
      <c r="D819" s="89" t="s">
        <v>167</v>
      </c>
      <c r="E819" s="88">
        <v>2.5000000000000001E-2</v>
      </c>
      <c r="F819" s="89">
        <v>46.24</v>
      </c>
      <c r="G819" s="89">
        <f t="shared" si="6"/>
        <v>1.1560000000000001</v>
      </c>
    </row>
    <row r="820" spans="1:7">
      <c r="A820" s="832" t="s">
        <v>1908</v>
      </c>
      <c r="B820" s="833"/>
      <c r="C820" s="833"/>
      <c r="D820" s="833"/>
      <c r="E820" s="833"/>
      <c r="F820" s="834"/>
      <c r="G820" s="90">
        <f>SUM(G811:I819)</f>
        <v>1219.59565275</v>
      </c>
    </row>
    <row r="821" spans="1:7">
      <c r="A821" s="91"/>
      <c r="B821" s="92"/>
      <c r="C821" s="161"/>
      <c r="D821" s="93"/>
      <c r="E821" s="94"/>
      <c r="F821" s="95"/>
      <c r="G821" s="96"/>
    </row>
    <row r="822" spans="1:7">
      <c r="A822" s="835" t="s">
        <v>1909</v>
      </c>
      <c r="B822" s="836"/>
      <c r="C822" s="836"/>
      <c r="D822" s="836"/>
      <c r="E822" s="836"/>
      <c r="F822" s="836"/>
      <c r="G822" s="837"/>
    </row>
    <row r="823" spans="1:7">
      <c r="A823" s="84" t="s">
        <v>1903</v>
      </c>
      <c r="B823" s="84" t="s">
        <v>131</v>
      </c>
      <c r="C823" s="160" t="s">
        <v>1904</v>
      </c>
      <c r="D823" s="84" t="s">
        <v>167</v>
      </c>
      <c r="E823" s="85" t="s">
        <v>1905</v>
      </c>
      <c r="F823" s="86" t="s">
        <v>1906</v>
      </c>
      <c r="G823" s="86" t="s">
        <v>1907</v>
      </c>
    </row>
    <row r="824" spans="1:7" ht="24">
      <c r="A824" s="87" t="s">
        <v>2</v>
      </c>
      <c r="B824" s="87">
        <v>88248</v>
      </c>
      <c r="C824" s="278" t="s">
        <v>1947</v>
      </c>
      <c r="D824" s="89" t="s">
        <v>137</v>
      </c>
      <c r="E824" s="88">
        <v>3.056</v>
      </c>
      <c r="F824" s="89">
        <v>21.45</v>
      </c>
      <c r="G824" s="89">
        <f t="shared" ref="G824:G826" si="7">F824*E824</f>
        <v>65.551199999999994</v>
      </c>
    </row>
    <row r="825" spans="1:7" ht="24">
      <c r="A825" s="87" t="s">
        <v>2</v>
      </c>
      <c r="B825" s="87">
        <v>88267</v>
      </c>
      <c r="C825" s="278" t="s">
        <v>1949</v>
      </c>
      <c r="D825" s="89" t="s">
        <v>137</v>
      </c>
      <c r="E825" s="88">
        <v>3.056</v>
      </c>
      <c r="F825" s="89">
        <v>26.33</v>
      </c>
      <c r="G825" s="89">
        <f t="shared" si="7"/>
        <v>80.464479999999995</v>
      </c>
    </row>
    <row r="826" spans="1:7">
      <c r="A826" s="87" t="s">
        <v>2</v>
      </c>
      <c r="B826" s="87">
        <v>88317</v>
      </c>
      <c r="C826" s="278" t="s">
        <v>1970</v>
      </c>
      <c r="D826" s="89" t="s">
        <v>137</v>
      </c>
      <c r="E826" s="88">
        <v>3.056</v>
      </c>
      <c r="F826" s="89">
        <v>27.83</v>
      </c>
      <c r="G826" s="89">
        <f t="shared" si="7"/>
        <v>85.048479999999998</v>
      </c>
    </row>
    <row r="827" spans="1:7">
      <c r="A827" s="832" t="s">
        <v>1908</v>
      </c>
      <c r="B827" s="833"/>
      <c r="C827" s="833"/>
      <c r="D827" s="833"/>
      <c r="E827" s="833"/>
      <c r="F827" s="834"/>
      <c r="G827" s="90">
        <f>SUM(G824:G826)</f>
        <v>231.06415999999996</v>
      </c>
    </row>
    <row r="828" spans="1:7">
      <c r="A828" s="91"/>
      <c r="B828" s="92"/>
      <c r="C828" s="162"/>
      <c r="D828" s="92"/>
      <c r="E828" s="97"/>
      <c r="F828" s="98"/>
      <c r="G828" s="96"/>
    </row>
    <row r="829" spans="1:7">
      <c r="A829" s="835" t="s">
        <v>1912</v>
      </c>
      <c r="B829" s="836"/>
      <c r="C829" s="836"/>
      <c r="D829" s="836"/>
      <c r="E829" s="836"/>
      <c r="F829" s="836"/>
      <c r="G829" s="837"/>
    </row>
    <row r="830" spans="1:7">
      <c r="A830" s="84" t="s">
        <v>1903</v>
      </c>
      <c r="B830" s="84" t="s">
        <v>131</v>
      </c>
      <c r="C830" s="160" t="s">
        <v>1904</v>
      </c>
      <c r="D830" s="84" t="s">
        <v>167</v>
      </c>
      <c r="E830" s="85" t="s">
        <v>1905</v>
      </c>
      <c r="F830" s="86" t="s">
        <v>1906</v>
      </c>
      <c r="G830" s="86" t="s">
        <v>1907</v>
      </c>
    </row>
    <row r="831" spans="1:7">
      <c r="A831" s="87"/>
      <c r="B831" s="87"/>
      <c r="C831" s="278" t="s">
        <v>34</v>
      </c>
      <c r="D831" s="89" t="s">
        <v>34</v>
      </c>
      <c r="E831" s="88"/>
      <c r="F831" s="89" t="s">
        <v>34</v>
      </c>
      <c r="G831" s="89" t="s">
        <v>34</v>
      </c>
    </row>
    <row r="832" spans="1:7">
      <c r="A832" s="87"/>
      <c r="B832" s="87"/>
      <c r="C832" s="278" t="s">
        <v>34</v>
      </c>
      <c r="D832" s="89" t="s">
        <v>34</v>
      </c>
      <c r="E832" s="88"/>
      <c r="F832" s="89" t="s">
        <v>34</v>
      </c>
      <c r="G832" s="89" t="s">
        <v>34</v>
      </c>
    </row>
    <row r="833" spans="1:11">
      <c r="A833" s="832" t="s">
        <v>1908</v>
      </c>
      <c r="B833" s="833" t="s">
        <v>1908</v>
      </c>
      <c r="C833" s="833"/>
      <c r="D833" s="833"/>
      <c r="E833" s="833"/>
      <c r="F833" s="834"/>
      <c r="G833" s="90" t="s">
        <v>34</v>
      </c>
    </row>
    <row r="834" spans="1:11" ht="13.5" thickBot="1">
      <c r="A834" s="91"/>
      <c r="B834" s="92"/>
      <c r="C834" s="163"/>
      <c r="D834" s="99"/>
      <c r="E834" s="100"/>
      <c r="F834" s="101"/>
      <c r="G834" s="102"/>
    </row>
    <row r="835" spans="1:11" ht="13.5" thickBot="1">
      <c r="A835" s="838" t="s">
        <v>1259</v>
      </c>
      <c r="B835" s="839"/>
      <c r="C835" s="839"/>
      <c r="D835" s="839"/>
      <c r="E835" s="839"/>
      <c r="F835" s="840"/>
      <c r="G835" s="103">
        <f>SUM(G827,G820,G833)</f>
        <v>1450.6598127499999</v>
      </c>
    </row>
    <row r="837" spans="1:11">
      <c r="A837" s="237" t="s">
        <v>131</v>
      </c>
      <c r="B837" s="190" t="s">
        <v>27</v>
      </c>
      <c r="C837" s="855" t="s">
        <v>1281</v>
      </c>
      <c r="D837" s="856"/>
      <c r="E837" s="856"/>
      <c r="F837" s="857"/>
      <c r="G837" s="81" t="s">
        <v>127</v>
      </c>
      <c r="I837" s="480" t="s">
        <v>1901</v>
      </c>
      <c r="J837" s="80"/>
      <c r="K837" s="80"/>
    </row>
    <row r="838" spans="1:11" ht="50.1" customHeight="1">
      <c r="A838" s="179" t="s">
        <v>454</v>
      </c>
      <c r="B838" s="82"/>
      <c r="C838" s="830" t="s">
        <v>1555</v>
      </c>
      <c r="D838" s="831"/>
      <c r="E838" s="831"/>
      <c r="F838" s="186">
        <f>G865</f>
        <v>977.5931971199999</v>
      </c>
      <c r="G838" s="83" t="s">
        <v>180</v>
      </c>
      <c r="I838" s="481"/>
      <c r="J838" s="272"/>
      <c r="K838" s="272"/>
    </row>
    <row r="839" spans="1:11">
      <c r="A839" s="835" t="s">
        <v>1902</v>
      </c>
      <c r="B839" s="836"/>
      <c r="C839" s="836"/>
      <c r="D839" s="836"/>
      <c r="E839" s="836"/>
      <c r="F839" s="836"/>
      <c r="G839" s="837"/>
    </row>
    <row r="840" spans="1:11">
      <c r="A840" s="84" t="s">
        <v>1903</v>
      </c>
      <c r="B840" s="84" t="s">
        <v>131</v>
      </c>
      <c r="C840" s="160" t="s">
        <v>1904</v>
      </c>
      <c r="D840" s="84" t="s">
        <v>167</v>
      </c>
      <c r="E840" s="85" t="s">
        <v>1905</v>
      </c>
      <c r="F840" s="86" t="s">
        <v>1906</v>
      </c>
      <c r="G840" s="86" t="s">
        <v>1907</v>
      </c>
    </row>
    <row r="841" spans="1:11" ht="24">
      <c r="A841" s="87" t="s">
        <v>2</v>
      </c>
      <c r="B841" s="87">
        <v>7672</v>
      </c>
      <c r="C841" s="278" t="s">
        <v>1980</v>
      </c>
      <c r="D841" s="89" t="s">
        <v>1944</v>
      </c>
      <c r="E841" s="88">
        <v>1.0389999999999999</v>
      </c>
      <c r="F841" s="89">
        <v>626.05999999999995</v>
      </c>
      <c r="G841" s="89">
        <f>F841*E841</f>
        <v>650.47633999999994</v>
      </c>
    </row>
    <row r="842" spans="1:11" ht="24">
      <c r="A842" s="87" t="s">
        <v>2</v>
      </c>
      <c r="B842" s="87">
        <v>10997</v>
      </c>
      <c r="C842" s="278" t="s">
        <v>1965</v>
      </c>
      <c r="D842" s="89" t="s">
        <v>1171</v>
      </c>
      <c r="E842" s="88">
        <v>3.95E-2</v>
      </c>
      <c r="F842" s="89">
        <v>55.77</v>
      </c>
      <c r="G842" s="89">
        <f>F842*E842</f>
        <v>2.202915</v>
      </c>
    </row>
    <row r="843" spans="1:11" ht="60">
      <c r="A843" s="87" t="s">
        <v>3</v>
      </c>
      <c r="B843" s="87" t="s">
        <v>1966</v>
      </c>
      <c r="C843" s="278" t="s">
        <v>1967</v>
      </c>
      <c r="D843" s="89" t="s">
        <v>180</v>
      </c>
      <c r="E843" s="88">
        <v>0.8</v>
      </c>
      <c r="F843" s="89">
        <v>15.97</v>
      </c>
      <c r="G843" s="89">
        <f>IF(D843="","",E843*F843)</f>
        <v>12.776000000000002</v>
      </c>
    </row>
    <row r="844" spans="1:11" ht="48">
      <c r="A844" s="87" t="s">
        <v>1917</v>
      </c>
      <c r="B844" s="87" t="str">
        <f>'Mapa Cotações'!A193</f>
        <v>COT-0200</v>
      </c>
      <c r="C844" s="278" t="str">
        <f>'Mapa Cotações'!B193</f>
        <v>CALHA EM POLIESTIRENO (ISOPOR) EXPANDIDO, AUTO EXTINGUÍVEL, GRAU F1,COM 2" DE ESPESSURA - DIÂMETRO = 6" (TUBO DE EPS-T2-F(densidade de 11 a 13
kg/m³) 1000x254x254(152,4int/50,8par))</v>
      </c>
      <c r="D844" s="89" t="s">
        <v>180</v>
      </c>
      <c r="E844" s="88">
        <v>1.0389999999999999</v>
      </c>
      <c r="F844" s="89">
        <f>'Mapa Cotações'!M193</f>
        <v>70</v>
      </c>
      <c r="G844" s="89">
        <f t="shared" ref="G844:G849" si="8">F844*E844</f>
        <v>72.72999999999999</v>
      </c>
    </row>
    <row r="845" spans="1:11">
      <c r="A845" s="87" t="s">
        <v>1917</v>
      </c>
      <c r="B845" s="87" t="s">
        <v>1968</v>
      </c>
      <c r="C845" s="278" t="s">
        <v>1972</v>
      </c>
      <c r="D845" s="89" t="s">
        <v>167</v>
      </c>
      <c r="E845" s="88">
        <v>7.9796000000000006E-2</v>
      </c>
      <c r="F845" s="89">
        <v>406.02</v>
      </c>
      <c r="G845" s="89">
        <f t="shared" si="8"/>
        <v>32.398771920000002</v>
      </c>
    </row>
    <row r="846" spans="1:11">
      <c r="A846" s="87" t="s">
        <v>1917</v>
      </c>
      <c r="B846" s="87" t="s">
        <v>1973</v>
      </c>
      <c r="C846" s="278" t="s">
        <v>1974</v>
      </c>
      <c r="D846" s="89" t="s">
        <v>167</v>
      </c>
      <c r="E846" s="88">
        <v>0.99745600000000001</v>
      </c>
      <c r="F846" s="89">
        <v>31.47</v>
      </c>
      <c r="G846" s="89">
        <f t="shared" si="8"/>
        <v>31.389940320000001</v>
      </c>
    </row>
    <row r="847" spans="1:11" ht="24">
      <c r="A847" s="87" t="s">
        <v>1917</v>
      </c>
      <c r="B847" s="87" t="s">
        <v>1975</v>
      </c>
      <c r="C847" s="278" t="s">
        <v>1976</v>
      </c>
      <c r="D847" s="89" t="s">
        <v>1981</v>
      </c>
      <c r="E847" s="88">
        <v>1.5959000000000001E-2</v>
      </c>
      <c r="F847" s="89">
        <v>1499.2</v>
      </c>
      <c r="G847" s="89">
        <f t="shared" si="8"/>
        <v>23.925732800000002</v>
      </c>
    </row>
    <row r="848" spans="1:11">
      <c r="A848" s="87" t="s">
        <v>1917</v>
      </c>
      <c r="B848" s="87" t="s">
        <v>1977</v>
      </c>
      <c r="C848" s="278" t="s">
        <v>1978</v>
      </c>
      <c r="D848" s="89" t="s">
        <v>180</v>
      </c>
      <c r="E848" s="88">
        <f>E847*4</f>
        <v>6.3836000000000004E-2</v>
      </c>
      <c r="F848" s="89">
        <v>99.53</v>
      </c>
      <c r="G848" s="89">
        <f t="shared" si="8"/>
        <v>6.3535970800000001</v>
      </c>
    </row>
    <row r="849" spans="1:7">
      <c r="A849" s="87" t="s">
        <v>1917</v>
      </c>
      <c r="B849" s="87" t="s">
        <v>1979</v>
      </c>
      <c r="C849" s="278" t="s">
        <v>1969</v>
      </c>
      <c r="D849" s="89" t="s">
        <v>167</v>
      </c>
      <c r="E849" s="88">
        <v>0.02</v>
      </c>
      <c r="F849" s="89">
        <v>46.24</v>
      </c>
      <c r="G849" s="89">
        <f t="shared" si="8"/>
        <v>0.92480000000000007</v>
      </c>
    </row>
    <row r="850" spans="1:7">
      <c r="A850" s="832" t="s">
        <v>1908</v>
      </c>
      <c r="B850" s="833"/>
      <c r="C850" s="833"/>
      <c r="D850" s="833"/>
      <c r="E850" s="833"/>
      <c r="F850" s="834"/>
      <c r="G850" s="90">
        <f>SUM(G841:G849)</f>
        <v>833.17809711999985</v>
      </c>
    </row>
    <row r="851" spans="1:7">
      <c r="A851" s="91"/>
      <c r="B851" s="92"/>
      <c r="C851" s="161"/>
      <c r="D851" s="93"/>
      <c r="E851" s="94"/>
      <c r="F851" s="95"/>
      <c r="G851" s="96"/>
    </row>
    <row r="852" spans="1:7">
      <c r="A852" s="835" t="s">
        <v>1909</v>
      </c>
      <c r="B852" s="836"/>
      <c r="C852" s="836"/>
      <c r="D852" s="836"/>
      <c r="E852" s="836"/>
      <c r="F852" s="836"/>
      <c r="G852" s="837"/>
    </row>
    <row r="853" spans="1:7">
      <c r="A853" s="84" t="s">
        <v>1903</v>
      </c>
      <c r="B853" s="84" t="s">
        <v>131</v>
      </c>
      <c r="C853" s="160" t="s">
        <v>1904</v>
      </c>
      <c r="D853" s="84" t="s">
        <v>167</v>
      </c>
      <c r="E853" s="85" t="s">
        <v>1905</v>
      </c>
      <c r="F853" s="86" t="s">
        <v>1906</v>
      </c>
      <c r="G853" s="86" t="s">
        <v>1907</v>
      </c>
    </row>
    <row r="854" spans="1:7" ht="24">
      <c r="A854" s="87" t="s">
        <v>2</v>
      </c>
      <c r="B854" s="87">
        <v>88248</v>
      </c>
      <c r="C854" s="278" t="s">
        <v>1947</v>
      </c>
      <c r="D854" s="89" t="s">
        <v>137</v>
      </c>
      <c r="E854" s="88">
        <v>1.9100000000000001</v>
      </c>
      <c r="F854" s="89">
        <v>21.45</v>
      </c>
      <c r="G854" s="89">
        <f t="shared" ref="G854:G856" si="9">F854*E854</f>
        <v>40.969500000000004</v>
      </c>
    </row>
    <row r="855" spans="1:7" ht="24">
      <c r="A855" s="87" t="s">
        <v>2</v>
      </c>
      <c r="B855" s="87">
        <v>88267</v>
      </c>
      <c r="C855" s="278" t="s">
        <v>1949</v>
      </c>
      <c r="D855" s="89" t="s">
        <v>137</v>
      </c>
      <c r="E855" s="88">
        <v>1.9100000000000001</v>
      </c>
      <c r="F855" s="89">
        <v>26.33</v>
      </c>
      <c r="G855" s="89">
        <f t="shared" si="9"/>
        <v>50.290300000000002</v>
      </c>
    </row>
    <row r="856" spans="1:7">
      <c r="A856" s="87" t="s">
        <v>2</v>
      </c>
      <c r="B856" s="87">
        <v>88317</v>
      </c>
      <c r="C856" s="278" t="s">
        <v>1970</v>
      </c>
      <c r="D856" s="89" t="s">
        <v>137</v>
      </c>
      <c r="E856" s="88">
        <v>1.9100000000000001</v>
      </c>
      <c r="F856" s="89">
        <v>27.83</v>
      </c>
      <c r="G856" s="89">
        <f t="shared" si="9"/>
        <v>53.155300000000004</v>
      </c>
    </row>
    <row r="857" spans="1:7">
      <c r="A857" s="832" t="s">
        <v>1908</v>
      </c>
      <c r="B857" s="833"/>
      <c r="C857" s="833"/>
      <c r="D857" s="833"/>
      <c r="E857" s="833"/>
      <c r="F857" s="834"/>
      <c r="G857" s="90">
        <f>SUM(G854:G856)</f>
        <v>144.41510000000002</v>
      </c>
    </row>
    <row r="858" spans="1:7">
      <c r="A858" s="91"/>
      <c r="B858" s="92"/>
      <c r="C858" s="162"/>
      <c r="D858" s="92"/>
      <c r="E858" s="97"/>
      <c r="F858" s="98"/>
      <c r="G858" s="96"/>
    </row>
    <row r="859" spans="1:7">
      <c r="A859" s="835" t="s">
        <v>1912</v>
      </c>
      <c r="B859" s="836"/>
      <c r="C859" s="836"/>
      <c r="D859" s="836"/>
      <c r="E859" s="836"/>
      <c r="F859" s="836"/>
      <c r="G859" s="837"/>
    </row>
    <row r="860" spans="1:7">
      <c r="A860" s="84" t="s">
        <v>1903</v>
      </c>
      <c r="B860" s="84" t="s">
        <v>131</v>
      </c>
      <c r="C860" s="160" t="s">
        <v>1904</v>
      </c>
      <c r="D860" s="84" t="s">
        <v>167</v>
      </c>
      <c r="E860" s="85" t="s">
        <v>1905</v>
      </c>
      <c r="F860" s="86" t="s">
        <v>1906</v>
      </c>
      <c r="G860" s="86" t="s">
        <v>1907</v>
      </c>
    </row>
    <row r="861" spans="1:7">
      <c r="A861" s="87"/>
      <c r="B861" s="87"/>
      <c r="C861" s="278" t="s">
        <v>34</v>
      </c>
      <c r="D861" s="89" t="s">
        <v>34</v>
      </c>
      <c r="E861" s="88"/>
      <c r="F861" s="89" t="s">
        <v>34</v>
      </c>
      <c r="G861" s="89" t="s">
        <v>34</v>
      </c>
    </row>
    <row r="862" spans="1:7">
      <c r="A862" s="87"/>
      <c r="B862" s="87"/>
      <c r="C862" s="278" t="s">
        <v>34</v>
      </c>
      <c r="D862" s="89" t="s">
        <v>34</v>
      </c>
      <c r="E862" s="88"/>
      <c r="F862" s="89" t="s">
        <v>34</v>
      </c>
      <c r="G862" s="89" t="s">
        <v>34</v>
      </c>
    </row>
    <row r="863" spans="1:7">
      <c r="A863" s="832" t="s">
        <v>1908</v>
      </c>
      <c r="B863" s="833" t="s">
        <v>1908</v>
      </c>
      <c r="C863" s="833"/>
      <c r="D863" s="833"/>
      <c r="E863" s="833"/>
      <c r="F863" s="834"/>
      <c r="G863" s="90" t="s">
        <v>34</v>
      </c>
    </row>
    <row r="864" spans="1:7" ht="13.5" thickBot="1">
      <c r="A864" s="91"/>
      <c r="B864" s="92"/>
      <c r="C864" s="163"/>
      <c r="D864" s="99"/>
      <c r="E864" s="100"/>
      <c r="F864" s="101"/>
      <c r="G864" s="102"/>
    </row>
    <row r="865" spans="1:11" ht="13.5" thickBot="1">
      <c r="A865" s="838" t="s">
        <v>1259</v>
      </c>
      <c r="B865" s="839"/>
      <c r="C865" s="839"/>
      <c r="D865" s="839"/>
      <c r="E865" s="839"/>
      <c r="F865" s="840"/>
      <c r="G865" s="103">
        <f>SUM(G863,G857,G850)</f>
        <v>977.5931971199999</v>
      </c>
    </row>
    <row r="869" spans="1:11">
      <c r="A869" s="237" t="s">
        <v>131</v>
      </c>
      <c r="B869" s="190" t="s">
        <v>27</v>
      </c>
      <c r="C869" s="855" t="s">
        <v>1281</v>
      </c>
      <c r="D869" s="856"/>
      <c r="E869" s="856"/>
      <c r="F869" s="857"/>
      <c r="G869" s="81" t="s">
        <v>127</v>
      </c>
      <c r="I869" s="480" t="s">
        <v>1901</v>
      </c>
      <c r="J869" s="80"/>
      <c r="K869" s="80"/>
    </row>
    <row r="870" spans="1:11" ht="50.1" customHeight="1">
      <c r="A870" s="179" t="s">
        <v>457</v>
      </c>
      <c r="B870" s="82"/>
      <c r="C870" s="830" t="s">
        <v>1557</v>
      </c>
      <c r="D870" s="831"/>
      <c r="E870" s="831"/>
      <c r="F870" s="186">
        <f>G897</f>
        <v>888.29772419999995</v>
      </c>
      <c r="G870" s="83" t="s">
        <v>180</v>
      </c>
      <c r="I870" s="481"/>
      <c r="J870" s="272"/>
      <c r="K870" s="272"/>
    </row>
    <row r="871" spans="1:11">
      <c r="A871" s="835" t="s">
        <v>1902</v>
      </c>
      <c r="B871" s="836"/>
      <c r="C871" s="836"/>
      <c r="D871" s="836"/>
      <c r="E871" s="836"/>
      <c r="F871" s="836"/>
      <c r="G871" s="837"/>
    </row>
    <row r="872" spans="1:11">
      <c r="A872" s="84" t="s">
        <v>1903</v>
      </c>
      <c r="B872" s="84" t="s">
        <v>131</v>
      </c>
      <c r="C872" s="160" t="s">
        <v>1904</v>
      </c>
      <c r="D872" s="84" t="s">
        <v>167</v>
      </c>
      <c r="E872" s="85" t="s">
        <v>1905</v>
      </c>
      <c r="F872" s="86" t="s">
        <v>1906</v>
      </c>
      <c r="G872" s="86" t="s">
        <v>1907</v>
      </c>
    </row>
    <row r="873" spans="1:11" ht="24">
      <c r="A873" s="87" t="s">
        <v>2</v>
      </c>
      <c r="B873" s="87">
        <v>42577</v>
      </c>
      <c r="C873" s="278" t="s">
        <v>1982</v>
      </c>
      <c r="D873" s="89" t="s">
        <v>1944</v>
      </c>
      <c r="E873" s="88">
        <v>1.0389999999999999</v>
      </c>
      <c r="F873" s="89">
        <v>556.16999999999996</v>
      </c>
      <c r="G873" s="89">
        <f>F873*E873</f>
        <v>577.8606299999999</v>
      </c>
    </row>
    <row r="874" spans="1:11" ht="24">
      <c r="A874" s="87" t="s">
        <v>2</v>
      </c>
      <c r="B874" s="87">
        <v>10997</v>
      </c>
      <c r="C874" s="278" t="s">
        <v>1965</v>
      </c>
      <c r="D874" s="89" t="s">
        <v>1171</v>
      </c>
      <c r="E874" s="88">
        <v>3.95E-2</v>
      </c>
      <c r="F874" s="89">
        <v>55.77</v>
      </c>
      <c r="G874" s="89">
        <f>F874*E874</f>
        <v>2.202915</v>
      </c>
    </row>
    <row r="875" spans="1:11" ht="60">
      <c r="A875" s="87" t="s">
        <v>3</v>
      </c>
      <c r="B875" s="87" t="s">
        <v>1966</v>
      </c>
      <c r="C875" s="278" t="s">
        <v>1967</v>
      </c>
      <c r="D875" s="89" t="s">
        <v>180</v>
      </c>
      <c r="E875" s="88">
        <v>0.8</v>
      </c>
      <c r="F875" s="89">
        <v>15.97</v>
      </c>
      <c r="G875" s="89">
        <f>IF(D875="","",E875*F875)</f>
        <v>12.776000000000002</v>
      </c>
    </row>
    <row r="876" spans="1:11" ht="48">
      <c r="A876" s="87" t="s">
        <v>1917</v>
      </c>
      <c r="B876" s="87" t="str">
        <f>'Mapa Cotações'!A184</f>
        <v>COT-0191</v>
      </c>
      <c r="C876" s="278" t="str">
        <f>'Mapa Cotações'!B184</f>
        <v>CALHA EM POLIESTIRENO (ISOPOR) EXPANDIDO, AUTO EXTINGUÍVEL, GRAU F1,COM 2" DE ESPESSURA - DIÂMETRO = 5" (TUBO DE EPS-T2-F(densidade de 11 a 13
kg/m³) 1000x228,6x228,6(127int/50,8par)</v>
      </c>
      <c r="D876" s="89" t="s">
        <v>180</v>
      </c>
      <c r="E876" s="88">
        <v>1.0389999999999999</v>
      </c>
      <c r="F876" s="89">
        <f>'Mapa Cotações'!M184</f>
        <v>63</v>
      </c>
      <c r="G876" s="89">
        <f t="shared" ref="G876:G881" si="10">F876*E876</f>
        <v>65.456999999999994</v>
      </c>
    </row>
    <row r="877" spans="1:11">
      <c r="A877" s="87" t="s">
        <v>1917</v>
      </c>
      <c r="B877" s="87" t="s">
        <v>1968</v>
      </c>
      <c r="C877" s="278" t="s">
        <v>1972</v>
      </c>
      <c r="D877" s="89" t="s">
        <v>167</v>
      </c>
      <c r="E877" s="88">
        <v>7.1817000000000006E-2</v>
      </c>
      <c r="F877" s="89">
        <v>406.02</v>
      </c>
      <c r="G877" s="89">
        <f t="shared" si="10"/>
        <v>29.159138340000002</v>
      </c>
    </row>
    <row r="878" spans="1:11">
      <c r="A878" s="87" t="s">
        <v>1917</v>
      </c>
      <c r="B878" s="87" t="s">
        <v>1973</v>
      </c>
      <c r="C878" s="278" t="s">
        <v>1974</v>
      </c>
      <c r="D878" s="89" t="s">
        <v>167</v>
      </c>
      <c r="E878" s="88">
        <v>0.89771000000000001</v>
      </c>
      <c r="F878" s="89">
        <v>31.47</v>
      </c>
      <c r="G878" s="89">
        <f t="shared" si="10"/>
        <v>28.250933700000001</v>
      </c>
    </row>
    <row r="879" spans="1:11" ht="24">
      <c r="A879" s="87" t="s">
        <v>1917</v>
      </c>
      <c r="B879" s="87" t="s">
        <v>1975</v>
      </c>
      <c r="C879" s="278" t="s">
        <v>1976</v>
      </c>
      <c r="D879" s="89" t="s">
        <v>180</v>
      </c>
      <c r="E879" s="88">
        <v>1.4363000000000001E-2</v>
      </c>
      <c r="F879" s="89">
        <v>1499.2</v>
      </c>
      <c r="G879" s="89">
        <f t="shared" si="10"/>
        <v>21.533009600000003</v>
      </c>
    </row>
    <row r="880" spans="1:11">
      <c r="A880" s="87" t="s">
        <v>1917</v>
      </c>
      <c r="B880" s="87" t="s">
        <v>1977</v>
      </c>
      <c r="C880" s="278" t="s">
        <v>1978</v>
      </c>
      <c r="D880" s="89" t="s">
        <v>180</v>
      </c>
      <c r="E880" s="88">
        <f>E879*4</f>
        <v>5.7452000000000003E-2</v>
      </c>
      <c r="F880" s="89">
        <v>99.53</v>
      </c>
      <c r="G880" s="89">
        <f t="shared" si="10"/>
        <v>5.7181975600000001</v>
      </c>
    </row>
    <row r="881" spans="1:7">
      <c r="A881" s="87" t="s">
        <v>1917</v>
      </c>
      <c r="B881" s="87" t="s">
        <v>1979</v>
      </c>
      <c r="C881" s="278" t="s">
        <v>1969</v>
      </c>
      <c r="D881" s="89" t="s">
        <v>167</v>
      </c>
      <c r="E881" s="88">
        <v>0.02</v>
      </c>
      <c r="F881" s="89">
        <v>46.24</v>
      </c>
      <c r="G881" s="89">
        <f t="shared" si="10"/>
        <v>0.92480000000000007</v>
      </c>
    </row>
    <row r="882" spans="1:7">
      <c r="A882" s="832" t="s">
        <v>1908</v>
      </c>
      <c r="B882" s="833"/>
      <c r="C882" s="833"/>
      <c r="D882" s="833"/>
      <c r="E882" s="833"/>
      <c r="F882" s="834"/>
      <c r="G882" s="90">
        <f>SUM(G873:G881)</f>
        <v>743.8826241999999</v>
      </c>
    </row>
    <row r="883" spans="1:7">
      <c r="A883" s="91"/>
      <c r="B883" s="92"/>
      <c r="C883" s="161"/>
      <c r="D883" s="93"/>
      <c r="E883" s="94"/>
      <c r="F883" s="95"/>
      <c r="G883" s="96"/>
    </row>
    <row r="884" spans="1:7">
      <c r="A884" s="835" t="s">
        <v>1909</v>
      </c>
      <c r="B884" s="836"/>
      <c r="C884" s="836"/>
      <c r="D884" s="836"/>
      <c r="E884" s="836"/>
      <c r="F884" s="836"/>
      <c r="G884" s="837"/>
    </row>
    <row r="885" spans="1:7">
      <c r="A885" s="84" t="s">
        <v>1903</v>
      </c>
      <c r="B885" s="84" t="s">
        <v>131</v>
      </c>
      <c r="C885" s="160" t="s">
        <v>1904</v>
      </c>
      <c r="D885" s="84" t="s">
        <v>167</v>
      </c>
      <c r="E885" s="85" t="s">
        <v>1905</v>
      </c>
      <c r="F885" s="86" t="s">
        <v>1906</v>
      </c>
      <c r="G885" s="86" t="s">
        <v>1907</v>
      </c>
    </row>
    <row r="886" spans="1:7" ht="24">
      <c r="A886" s="87" t="s">
        <v>2</v>
      </c>
      <c r="B886" s="87">
        <v>88248</v>
      </c>
      <c r="C886" s="278" t="s">
        <v>1947</v>
      </c>
      <c r="D886" s="89" t="s">
        <v>137</v>
      </c>
      <c r="E886" s="88">
        <v>1.9100000000000001</v>
      </c>
      <c r="F886" s="89">
        <v>21.45</v>
      </c>
      <c r="G886" s="89">
        <f t="shared" ref="G886:G888" si="11">F886*E886</f>
        <v>40.969500000000004</v>
      </c>
    </row>
    <row r="887" spans="1:7" ht="24">
      <c r="A887" s="87" t="s">
        <v>2</v>
      </c>
      <c r="B887" s="87">
        <v>88267</v>
      </c>
      <c r="C887" s="278" t="s">
        <v>1949</v>
      </c>
      <c r="D887" s="89" t="s">
        <v>137</v>
      </c>
      <c r="E887" s="88">
        <v>1.9100000000000001</v>
      </c>
      <c r="F887" s="89">
        <v>26.33</v>
      </c>
      <c r="G887" s="89">
        <f t="shared" si="11"/>
        <v>50.290300000000002</v>
      </c>
    </row>
    <row r="888" spans="1:7">
      <c r="A888" s="87" t="s">
        <v>2</v>
      </c>
      <c r="B888" s="87">
        <v>88317</v>
      </c>
      <c r="C888" s="278" t="s">
        <v>1970</v>
      </c>
      <c r="D888" s="89" t="s">
        <v>137</v>
      </c>
      <c r="E888" s="88">
        <v>1.9100000000000001</v>
      </c>
      <c r="F888" s="89">
        <v>27.83</v>
      </c>
      <c r="G888" s="89">
        <f t="shared" si="11"/>
        <v>53.155300000000004</v>
      </c>
    </row>
    <row r="889" spans="1:7">
      <c r="A889" s="832" t="s">
        <v>1908</v>
      </c>
      <c r="B889" s="833"/>
      <c r="C889" s="833"/>
      <c r="D889" s="833"/>
      <c r="E889" s="833"/>
      <c r="F889" s="834"/>
      <c r="G889" s="90">
        <f>SUM(G886:G888)</f>
        <v>144.41510000000002</v>
      </c>
    </row>
    <row r="890" spans="1:7">
      <c r="A890" s="91"/>
      <c r="B890" s="92"/>
      <c r="C890" s="162"/>
      <c r="D890" s="92"/>
      <c r="E890" s="97"/>
      <c r="F890" s="98"/>
      <c r="G890" s="96"/>
    </row>
    <row r="891" spans="1:7">
      <c r="A891" s="835" t="s">
        <v>1912</v>
      </c>
      <c r="B891" s="836"/>
      <c r="C891" s="836"/>
      <c r="D891" s="836"/>
      <c r="E891" s="836"/>
      <c r="F891" s="836"/>
      <c r="G891" s="837"/>
    </row>
    <row r="892" spans="1:7">
      <c r="A892" s="84" t="s">
        <v>1903</v>
      </c>
      <c r="B892" s="84" t="s">
        <v>131</v>
      </c>
      <c r="C892" s="160" t="s">
        <v>1904</v>
      </c>
      <c r="D892" s="84" t="s">
        <v>167</v>
      </c>
      <c r="E892" s="85" t="s">
        <v>1905</v>
      </c>
      <c r="F892" s="86" t="s">
        <v>1906</v>
      </c>
      <c r="G892" s="86" t="s">
        <v>1907</v>
      </c>
    </row>
    <row r="893" spans="1:7">
      <c r="A893" s="87"/>
      <c r="B893" s="87"/>
      <c r="C893" s="278" t="s">
        <v>34</v>
      </c>
      <c r="D893" s="89" t="s">
        <v>34</v>
      </c>
      <c r="E893" s="88"/>
      <c r="F893" s="89" t="s">
        <v>34</v>
      </c>
      <c r="G893" s="89" t="s">
        <v>34</v>
      </c>
    </row>
    <row r="894" spans="1:7">
      <c r="A894" s="87"/>
      <c r="B894" s="87"/>
      <c r="C894" s="278" t="s">
        <v>34</v>
      </c>
      <c r="D894" s="89" t="s">
        <v>34</v>
      </c>
      <c r="E894" s="88"/>
      <c r="F894" s="89" t="s">
        <v>34</v>
      </c>
      <c r="G894" s="89" t="s">
        <v>34</v>
      </c>
    </row>
    <row r="895" spans="1:7">
      <c r="A895" s="832" t="s">
        <v>1908</v>
      </c>
      <c r="B895" s="833" t="s">
        <v>1908</v>
      </c>
      <c r="C895" s="833"/>
      <c r="D895" s="833"/>
      <c r="E895" s="833"/>
      <c r="F895" s="834"/>
      <c r="G895" s="90" t="s">
        <v>34</v>
      </c>
    </row>
    <row r="896" spans="1:7" ht="13.5" thickBot="1">
      <c r="A896" s="91"/>
      <c r="B896" s="92"/>
      <c r="C896" s="163"/>
      <c r="D896" s="99"/>
      <c r="E896" s="100"/>
      <c r="F896" s="101"/>
      <c r="G896" s="102"/>
    </row>
    <row r="897" spans="1:11" ht="13.5" thickBot="1">
      <c r="A897" s="838" t="s">
        <v>1259</v>
      </c>
      <c r="B897" s="839"/>
      <c r="C897" s="839"/>
      <c r="D897" s="839"/>
      <c r="E897" s="839"/>
      <c r="F897" s="840"/>
      <c r="G897" s="103">
        <f>SUM(G895,G889,G882)</f>
        <v>888.29772419999995</v>
      </c>
    </row>
    <row r="900" spans="1:11">
      <c r="A900" s="237" t="s">
        <v>131</v>
      </c>
      <c r="B900" s="190" t="s">
        <v>27</v>
      </c>
      <c r="C900" s="841" t="s">
        <v>1281</v>
      </c>
      <c r="D900" s="841"/>
      <c r="E900" s="841"/>
      <c r="F900" s="841"/>
      <c r="G900" s="81" t="s">
        <v>127</v>
      </c>
      <c r="I900" s="480" t="s">
        <v>1901</v>
      </c>
      <c r="J900" s="80"/>
      <c r="K900" s="80"/>
    </row>
    <row r="901" spans="1:11" ht="50.1" customHeight="1">
      <c r="A901" s="179" t="s">
        <v>460</v>
      </c>
      <c r="B901" s="82"/>
      <c r="C901" s="830" t="s">
        <v>1559</v>
      </c>
      <c r="D901" s="831"/>
      <c r="E901" s="831"/>
      <c r="F901" s="186">
        <f>G928</f>
        <v>834.42256672999974</v>
      </c>
      <c r="G901" s="83" t="s">
        <v>180</v>
      </c>
      <c r="I901" s="481"/>
      <c r="J901" s="272"/>
      <c r="K901" s="272"/>
    </row>
    <row r="902" spans="1:11">
      <c r="A902" s="818" t="s">
        <v>1902</v>
      </c>
      <c r="B902" s="819"/>
      <c r="C902" s="819"/>
      <c r="D902" s="819"/>
      <c r="E902" s="819"/>
      <c r="F902" s="819"/>
      <c r="G902" s="820"/>
    </row>
    <row r="903" spans="1:11">
      <c r="A903" s="84" t="s">
        <v>1903</v>
      </c>
      <c r="B903" s="84" t="s">
        <v>131</v>
      </c>
      <c r="C903" s="160" t="s">
        <v>1904</v>
      </c>
      <c r="D903" s="84" t="s">
        <v>167</v>
      </c>
      <c r="E903" s="85" t="s">
        <v>1905</v>
      </c>
      <c r="F903" s="86" t="s">
        <v>1906</v>
      </c>
      <c r="G903" s="86" t="s">
        <v>1907</v>
      </c>
    </row>
    <row r="904" spans="1:11" ht="24">
      <c r="A904" s="87" t="s">
        <v>2</v>
      </c>
      <c r="B904" s="87">
        <v>42577</v>
      </c>
      <c r="C904" s="278" t="s">
        <v>1982</v>
      </c>
      <c r="D904" s="89" t="s">
        <v>1944</v>
      </c>
      <c r="E904" s="88">
        <v>1.0389999999999999</v>
      </c>
      <c r="F904" s="89">
        <v>556.16999999999996</v>
      </c>
      <c r="G904" s="89">
        <f>F904*E904</f>
        <v>577.8606299999999</v>
      </c>
    </row>
    <row r="905" spans="1:11" ht="24">
      <c r="A905" s="87" t="s">
        <v>2</v>
      </c>
      <c r="B905" s="87">
        <v>10997</v>
      </c>
      <c r="C905" s="278" t="s">
        <v>1965</v>
      </c>
      <c r="D905" s="89" t="s">
        <v>1171</v>
      </c>
      <c r="E905" s="88">
        <v>3.95E-2</v>
      </c>
      <c r="F905" s="89">
        <v>55.77</v>
      </c>
      <c r="G905" s="89">
        <f>F905*E905</f>
        <v>2.202915</v>
      </c>
    </row>
    <row r="906" spans="1:11" ht="60">
      <c r="A906" s="87" t="s">
        <v>3</v>
      </c>
      <c r="B906" s="87" t="s">
        <v>1966</v>
      </c>
      <c r="C906" s="278" t="s">
        <v>1967</v>
      </c>
      <c r="D906" s="89" t="s">
        <v>180</v>
      </c>
      <c r="E906" s="88">
        <v>0.8</v>
      </c>
      <c r="F906" s="89">
        <v>15.97</v>
      </c>
      <c r="G906" s="89">
        <f>IF(D906="","",E906*F906)</f>
        <v>12.776000000000002</v>
      </c>
    </row>
    <row r="907" spans="1:11" ht="38.25" customHeight="1">
      <c r="A907" s="87" t="s">
        <v>1917</v>
      </c>
      <c r="B907" s="87" t="str">
        <f>'Mapa Cotações'!A185</f>
        <v>COT-0192</v>
      </c>
      <c r="C907" s="278" t="str">
        <f>'Mapa Cotações'!B185</f>
        <v>CALHA EM POLIESTIRENO (ISOPOR) EXPANDIDO, AUTO EXTINGUÍVEL, GRAU F1,COM 2" DE ESPESSURA - DIÂMETRO = 4" (TUBO DE EPS-T2-F(densidade de 11 a 13
kg/m³) 1000x203,2x203,2(101,6int/50,8par))</v>
      </c>
      <c r="D907" s="89" t="s">
        <v>180</v>
      </c>
      <c r="E907" s="88">
        <v>1.0389999999999999</v>
      </c>
      <c r="F907" s="89">
        <f>'Mapa Cotações'!M185</f>
        <v>48</v>
      </c>
      <c r="G907" s="89">
        <f t="shared" ref="G907:G912" si="12">F907*E907</f>
        <v>49.872</v>
      </c>
    </row>
    <row r="908" spans="1:11">
      <c r="A908" s="87" t="s">
        <v>1917</v>
      </c>
      <c r="B908" s="87" t="s">
        <v>1968</v>
      </c>
      <c r="C908" s="278" t="s">
        <v>1972</v>
      </c>
      <c r="D908" s="89" t="s">
        <v>167</v>
      </c>
      <c r="E908" s="88">
        <v>6.3837000000000005E-2</v>
      </c>
      <c r="F908" s="89">
        <v>406.02</v>
      </c>
      <c r="G908" s="89">
        <f t="shared" si="12"/>
        <v>25.919098740000003</v>
      </c>
    </row>
    <row r="909" spans="1:11">
      <c r="A909" s="87" t="s">
        <v>1917</v>
      </c>
      <c r="B909" s="87" t="s">
        <v>1973</v>
      </c>
      <c r="C909" s="278" t="s">
        <v>1974</v>
      </c>
      <c r="D909" s="89" t="s">
        <v>167</v>
      </c>
      <c r="E909" s="88">
        <v>0.79796500000000004</v>
      </c>
      <c r="F909" s="89">
        <v>31.47</v>
      </c>
      <c r="G909" s="89">
        <f t="shared" si="12"/>
        <v>25.111958550000001</v>
      </c>
    </row>
    <row r="910" spans="1:11" ht="24">
      <c r="A910" s="87" t="s">
        <v>1917</v>
      </c>
      <c r="B910" s="87" t="s">
        <v>1975</v>
      </c>
      <c r="C910" s="278" t="s">
        <v>1976</v>
      </c>
      <c r="D910" s="89" t="s">
        <v>180</v>
      </c>
      <c r="E910" s="88">
        <v>1.2767000000000001E-2</v>
      </c>
      <c r="F910" s="89">
        <v>1499.2</v>
      </c>
      <c r="G910" s="89">
        <f t="shared" si="12"/>
        <v>19.140286400000001</v>
      </c>
    </row>
    <row r="911" spans="1:11">
      <c r="A911" s="87" t="s">
        <v>1917</v>
      </c>
      <c r="B911" s="87" t="s">
        <v>1977</v>
      </c>
      <c r="C911" s="278" t="s">
        <v>1978</v>
      </c>
      <c r="D911" s="89" t="s">
        <v>180</v>
      </c>
      <c r="E911" s="88">
        <f>E910*4</f>
        <v>5.1068000000000002E-2</v>
      </c>
      <c r="F911" s="89">
        <v>99.53</v>
      </c>
      <c r="G911" s="89">
        <f t="shared" si="12"/>
        <v>5.0827980400000001</v>
      </c>
    </row>
    <row r="912" spans="1:11">
      <c r="A912" s="87" t="s">
        <v>1917</v>
      </c>
      <c r="B912" s="87" t="s">
        <v>1979</v>
      </c>
      <c r="C912" s="278" t="s">
        <v>1969</v>
      </c>
      <c r="D912" s="89" t="s">
        <v>167</v>
      </c>
      <c r="E912" s="88">
        <v>0.02</v>
      </c>
      <c r="F912" s="89">
        <v>46.24</v>
      </c>
      <c r="G912" s="89">
        <f t="shared" si="12"/>
        <v>0.92480000000000007</v>
      </c>
    </row>
    <row r="913" spans="1:7">
      <c r="A913" s="832" t="s">
        <v>1908</v>
      </c>
      <c r="B913" s="833"/>
      <c r="C913" s="833"/>
      <c r="D913" s="833"/>
      <c r="E913" s="833"/>
      <c r="F913" s="834"/>
      <c r="G913" s="90">
        <f>SUM(G904:G912)</f>
        <v>718.89048672999979</v>
      </c>
    </row>
    <row r="914" spans="1:7">
      <c r="A914" s="91"/>
      <c r="B914" s="92"/>
      <c r="C914" s="161"/>
      <c r="D914" s="93"/>
      <c r="E914" s="94"/>
      <c r="F914" s="95"/>
      <c r="G914" s="96"/>
    </row>
    <row r="915" spans="1:7">
      <c r="A915" s="835" t="s">
        <v>1909</v>
      </c>
      <c r="B915" s="836"/>
      <c r="C915" s="836"/>
      <c r="D915" s="836"/>
      <c r="E915" s="836"/>
      <c r="F915" s="836"/>
      <c r="G915" s="837"/>
    </row>
    <row r="916" spans="1:7">
      <c r="A916" s="84" t="s">
        <v>1903</v>
      </c>
      <c r="B916" s="84" t="s">
        <v>131</v>
      </c>
      <c r="C916" s="160" t="s">
        <v>1904</v>
      </c>
      <c r="D916" s="84" t="s">
        <v>167</v>
      </c>
      <c r="E916" s="85" t="s">
        <v>1905</v>
      </c>
      <c r="F916" s="86" t="s">
        <v>1906</v>
      </c>
      <c r="G916" s="86" t="s">
        <v>1907</v>
      </c>
    </row>
    <row r="917" spans="1:7" ht="24">
      <c r="A917" s="87" t="s">
        <v>2</v>
      </c>
      <c r="B917" s="87">
        <v>88248</v>
      </c>
      <c r="C917" s="278" t="s">
        <v>1947</v>
      </c>
      <c r="D917" s="89" t="s">
        <v>137</v>
      </c>
      <c r="E917" s="88">
        <v>1.528</v>
      </c>
      <c r="F917" s="89">
        <v>21.45</v>
      </c>
      <c r="G917" s="89">
        <f t="shared" ref="G917:G919" si="13">F917*E917</f>
        <v>32.775599999999997</v>
      </c>
    </row>
    <row r="918" spans="1:7" ht="24">
      <c r="A918" s="87" t="s">
        <v>2</v>
      </c>
      <c r="B918" s="87">
        <v>88267</v>
      </c>
      <c r="C918" s="278" t="s">
        <v>1949</v>
      </c>
      <c r="D918" s="89" t="s">
        <v>137</v>
      </c>
      <c r="E918" s="88">
        <v>1.528</v>
      </c>
      <c r="F918" s="89">
        <v>26.33</v>
      </c>
      <c r="G918" s="89">
        <f t="shared" si="13"/>
        <v>40.232239999999997</v>
      </c>
    </row>
    <row r="919" spans="1:7">
      <c r="A919" s="87" t="s">
        <v>2</v>
      </c>
      <c r="B919" s="87">
        <v>88317</v>
      </c>
      <c r="C919" s="278" t="s">
        <v>1970</v>
      </c>
      <c r="D919" s="89" t="s">
        <v>137</v>
      </c>
      <c r="E919" s="88">
        <v>1.528</v>
      </c>
      <c r="F919" s="89">
        <v>27.83</v>
      </c>
      <c r="G919" s="89">
        <f t="shared" si="13"/>
        <v>42.524239999999999</v>
      </c>
    </row>
    <row r="920" spans="1:7">
      <c r="A920" s="832" t="s">
        <v>1908</v>
      </c>
      <c r="B920" s="833"/>
      <c r="C920" s="833"/>
      <c r="D920" s="833"/>
      <c r="E920" s="833"/>
      <c r="F920" s="834"/>
      <c r="G920" s="90">
        <f>SUM(G917:G919)</f>
        <v>115.53207999999998</v>
      </c>
    </row>
    <row r="921" spans="1:7">
      <c r="A921" s="91"/>
      <c r="B921" s="92"/>
      <c r="C921" s="162"/>
      <c r="D921" s="92"/>
      <c r="E921" s="97"/>
      <c r="F921" s="98"/>
      <c r="G921" s="96"/>
    </row>
    <row r="922" spans="1:7">
      <c r="A922" s="835" t="s">
        <v>1912</v>
      </c>
      <c r="B922" s="836"/>
      <c r="C922" s="836"/>
      <c r="D922" s="836"/>
      <c r="E922" s="836"/>
      <c r="F922" s="836"/>
      <c r="G922" s="837"/>
    </row>
    <row r="923" spans="1:7">
      <c r="A923" s="84" t="s">
        <v>1903</v>
      </c>
      <c r="B923" s="84" t="s">
        <v>131</v>
      </c>
      <c r="C923" s="160" t="s">
        <v>1904</v>
      </c>
      <c r="D923" s="84" t="s">
        <v>167</v>
      </c>
      <c r="E923" s="85" t="s">
        <v>1905</v>
      </c>
      <c r="F923" s="86" t="s">
        <v>1906</v>
      </c>
      <c r="G923" s="86" t="s">
        <v>1907</v>
      </c>
    </row>
    <row r="924" spans="1:7">
      <c r="A924" s="87"/>
      <c r="B924" s="87"/>
      <c r="C924" s="278" t="s">
        <v>34</v>
      </c>
      <c r="D924" s="89" t="s">
        <v>34</v>
      </c>
      <c r="E924" s="88"/>
      <c r="F924" s="89" t="s">
        <v>34</v>
      </c>
      <c r="G924" s="89" t="s">
        <v>34</v>
      </c>
    </row>
    <row r="925" spans="1:7">
      <c r="A925" s="87"/>
      <c r="B925" s="87"/>
      <c r="C925" s="278" t="s">
        <v>34</v>
      </c>
      <c r="D925" s="89" t="s">
        <v>34</v>
      </c>
      <c r="E925" s="88"/>
      <c r="F925" s="89" t="s">
        <v>34</v>
      </c>
      <c r="G925" s="89" t="s">
        <v>34</v>
      </c>
    </row>
    <row r="926" spans="1:7">
      <c r="A926" s="832" t="s">
        <v>1908</v>
      </c>
      <c r="B926" s="833" t="s">
        <v>1908</v>
      </c>
      <c r="C926" s="833"/>
      <c r="D926" s="833"/>
      <c r="E926" s="833"/>
      <c r="F926" s="834"/>
      <c r="G926" s="90" t="s">
        <v>34</v>
      </c>
    </row>
    <row r="927" spans="1:7" ht="13.5" thickBot="1">
      <c r="A927" s="91"/>
      <c r="B927" s="92"/>
      <c r="C927" s="163"/>
      <c r="D927" s="99"/>
      <c r="E927" s="100"/>
      <c r="F927" s="101"/>
      <c r="G927" s="102"/>
    </row>
    <row r="928" spans="1:7" ht="13.5" thickBot="1">
      <c r="A928" s="838" t="s">
        <v>1259</v>
      </c>
      <c r="B928" s="839"/>
      <c r="C928" s="839"/>
      <c r="D928" s="839"/>
      <c r="E928" s="839"/>
      <c r="F928" s="840"/>
      <c r="G928" s="103">
        <f>SUM(G926,G920,G913)</f>
        <v>834.42256672999974</v>
      </c>
    </row>
    <row r="931" spans="1:11">
      <c r="A931" s="237" t="s">
        <v>131</v>
      </c>
      <c r="B931" s="190" t="s">
        <v>27</v>
      </c>
      <c r="C931" s="841" t="s">
        <v>1281</v>
      </c>
      <c r="D931" s="841"/>
      <c r="E931" s="841"/>
      <c r="F931" s="841"/>
      <c r="G931" s="81" t="s">
        <v>127</v>
      </c>
      <c r="I931" s="480" t="s">
        <v>1901</v>
      </c>
      <c r="J931" s="80"/>
      <c r="K931" s="80"/>
    </row>
    <row r="932" spans="1:11" ht="50.1" customHeight="1">
      <c r="A932" s="179" t="s">
        <v>463</v>
      </c>
      <c r="B932" s="82"/>
      <c r="C932" s="830" t="s">
        <v>1561</v>
      </c>
      <c r="D932" s="831"/>
      <c r="E932" s="831"/>
      <c r="F932" s="186">
        <f>G959</f>
        <v>455.98209112999996</v>
      </c>
      <c r="G932" s="83" t="s">
        <v>180</v>
      </c>
      <c r="I932" s="481"/>
      <c r="J932" s="272"/>
      <c r="K932" s="272"/>
    </row>
    <row r="933" spans="1:11">
      <c r="A933" s="818" t="s">
        <v>1902</v>
      </c>
      <c r="B933" s="819"/>
      <c r="C933" s="819"/>
      <c r="D933" s="819"/>
      <c r="E933" s="819"/>
      <c r="F933" s="819"/>
      <c r="G933" s="820"/>
    </row>
    <row r="934" spans="1:11">
      <c r="A934" s="84" t="s">
        <v>1903</v>
      </c>
      <c r="B934" s="84" t="s">
        <v>131</v>
      </c>
      <c r="C934" s="160" t="s">
        <v>1904</v>
      </c>
      <c r="D934" s="84" t="s">
        <v>167</v>
      </c>
      <c r="E934" s="85" t="s">
        <v>1905</v>
      </c>
      <c r="F934" s="86" t="s">
        <v>1906</v>
      </c>
      <c r="G934" s="86" t="s">
        <v>1907</v>
      </c>
    </row>
    <row r="935" spans="1:11" ht="24">
      <c r="A935" s="87" t="s">
        <v>2</v>
      </c>
      <c r="B935" s="87">
        <v>42576</v>
      </c>
      <c r="C935" s="278" t="s">
        <v>1983</v>
      </c>
      <c r="D935" s="89" t="s">
        <v>1944</v>
      </c>
      <c r="E935" s="88">
        <v>1.0389999999999999</v>
      </c>
      <c r="F935" s="89">
        <v>243.68</v>
      </c>
      <c r="G935" s="89">
        <f>F935*E935</f>
        <v>253.18351999999999</v>
      </c>
    </row>
    <row r="936" spans="1:11" ht="24">
      <c r="A936" s="87" t="s">
        <v>2</v>
      </c>
      <c r="B936" s="87">
        <v>10997</v>
      </c>
      <c r="C936" s="278" t="s">
        <v>1965</v>
      </c>
      <c r="D936" s="89" t="s">
        <v>1171</v>
      </c>
      <c r="E936" s="88">
        <v>3.95E-2</v>
      </c>
      <c r="F936" s="89">
        <v>55.77</v>
      </c>
      <c r="G936" s="89">
        <f>F936*E936</f>
        <v>2.202915</v>
      </c>
    </row>
    <row r="937" spans="1:11" ht="60">
      <c r="A937" s="87" t="s">
        <v>3</v>
      </c>
      <c r="B937" s="87" t="s">
        <v>1966</v>
      </c>
      <c r="C937" s="278" t="s">
        <v>1967</v>
      </c>
      <c r="D937" s="89" t="s">
        <v>180</v>
      </c>
      <c r="E937" s="88">
        <v>0.65</v>
      </c>
      <c r="F937" s="89">
        <v>15.97</v>
      </c>
      <c r="G937" s="89">
        <f>IF(D937="","",E937*F937)</f>
        <v>10.380500000000001</v>
      </c>
    </row>
    <row r="938" spans="1:11" ht="37.5" customHeight="1">
      <c r="A938" s="87" t="s">
        <v>1917</v>
      </c>
      <c r="B938" s="87" t="str">
        <f>'Mapa Cotações'!A186</f>
        <v>COT-0193</v>
      </c>
      <c r="C938" s="278" t="str">
        <f>'Mapa Cotações'!B186</f>
        <v>CALHA EM POLIESTIRENO (ISOPOR) EXPANDIDO, AUTO EXTINGUÍVEL, GRAU F1,COM 2" DE ESPESSURA - DIÂMETRO = 3" (TUBO DE EPS-T2-F(densidade de 11 a 13
kg/m³) 1000x177,8x177,8(76,2int/50,8par)</v>
      </c>
      <c r="D938" s="89" t="s">
        <v>180</v>
      </c>
      <c r="E938" s="88">
        <v>1.0389999999999999</v>
      </c>
      <c r="F938" s="89">
        <f>'Mapa Cotações'!M186</f>
        <v>35.5</v>
      </c>
      <c r="G938" s="89">
        <f t="shared" ref="G938:G943" si="14">F938*E938</f>
        <v>36.884499999999996</v>
      </c>
    </row>
    <row r="939" spans="1:11">
      <c r="A939" s="87" t="s">
        <v>1917</v>
      </c>
      <c r="B939" s="87" t="s">
        <v>1968</v>
      </c>
      <c r="C939" s="278" t="s">
        <v>1972</v>
      </c>
      <c r="D939" s="89" t="s">
        <v>167</v>
      </c>
      <c r="E939" s="88">
        <v>5.5857999999999998E-2</v>
      </c>
      <c r="F939" s="89">
        <v>406.02</v>
      </c>
      <c r="G939" s="89">
        <f t="shared" si="14"/>
        <v>22.679465159999999</v>
      </c>
    </row>
    <row r="940" spans="1:11">
      <c r="A940" s="87" t="s">
        <v>1917</v>
      </c>
      <c r="B940" s="87" t="s">
        <v>1973</v>
      </c>
      <c r="C940" s="278" t="s">
        <v>1974</v>
      </c>
      <c r="D940" s="89" t="s">
        <v>167</v>
      </c>
      <c r="E940" s="88">
        <v>0.69821900000000003</v>
      </c>
      <c r="F940" s="89">
        <v>31.47</v>
      </c>
      <c r="G940" s="89">
        <f t="shared" si="14"/>
        <v>21.972951930000001</v>
      </c>
    </row>
    <row r="941" spans="1:11" ht="24">
      <c r="A941" s="87" t="s">
        <v>1917</v>
      </c>
      <c r="B941" s="87" t="s">
        <v>1975</v>
      </c>
      <c r="C941" s="278" t="s">
        <v>1976</v>
      </c>
      <c r="D941" s="89" t="s">
        <v>180</v>
      </c>
      <c r="E941" s="88">
        <v>1.1172E-2</v>
      </c>
      <c r="F941" s="89">
        <v>1499.2</v>
      </c>
      <c r="G941" s="89">
        <f t="shared" si="14"/>
        <v>16.7490624</v>
      </c>
    </row>
    <row r="942" spans="1:11">
      <c r="A942" s="87" t="s">
        <v>1917</v>
      </c>
      <c r="B942" s="87" t="s">
        <v>1977</v>
      </c>
      <c r="C942" s="278" t="s">
        <v>1978</v>
      </c>
      <c r="D942" s="89" t="s">
        <v>180</v>
      </c>
      <c r="E942" s="88">
        <f>E941*4</f>
        <v>4.4687999999999999E-2</v>
      </c>
      <c r="F942" s="89">
        <v>99.53</v>
      </c>
      <c r="G942" s="89">
        <f t="shared" si="14"/>
        <v>4.44779664</v>
      </c>
    </row>
    <row r="943" spans="1:11">
      <c r="A943" s="87" t="s">
        <v>1917</v>
      </c>
      <c r="B943" s="87" t="s">
        <v>1979</v>
      </c>
      <c r="C943" s="278" t="s">
        <v>1969</v>
      </c>
      <c r="D943" s="89" t="s">
        <v>167</v>
      </c>
      <c r="E943" s="88">
        <v>1.7999999999999999E-2</v>
      </c>
      <c r="F943" s="89">
        <v>46.24</v>
      </c>
      <c r="G943" s="89">
        <f t="shared" si="14"/>
        <v>0.83231999999999995</v>
      </c>
    </row>
    <row r="944" spans="1:11">
      <c r="A944" s="832" t="s">
        <v>1908</v>
      </c>
      <c r="B944" s="833"/>
      <c r="C944" s="833"/>
      <c r="D944" s="833"/>
      <c r="E944" s="833"/>
      <c r="F944" s="834"/>
      <c r="G944" s="90">
        <f>SUM(G935:G943)</f>
        <v>369.33303112999999</v>
      </c>
    </row>
    <row r="945" spans="1:7">
      <c r="A945" s="91"/>
      <c r="B945" s="92"/>
      <c r="C945" s="161"/>
      <c r="D945" s="93"/>
      <c r="E945" s="94"/>
      <c r="F945" s="95"/>
      <c r="G945" s="96"/>
    </row>
    <row r="946" spans="1:7">
      <c r="A946" s="835" t="s">
        <v>1909</v>
      </c>
      <c r="B946" s="836"/>
      <c r="C946" s="836"/>
      <c r="D946" s="836"/>
      <c r="E946" s="836"/>
      <c r="F946" s="836"/>
      <c r="G946" s="837"/>
    </row>
    <row r="947" spans="1:7">
      <c r="A947" s="84" t="s">
        <v>1903</v>
      </c>
      <c r="B947" s="84" t="s">
        <v>131</v>
      </c>
      <c r="C947" s="160" t="s">
        <v>1904</v>
      </c>
      <c r="D947" s="84" t="s">
        <v>167</v>
      </c>
      <c r="E947" s="85" t="s">
        <v>1905</v>
      </c>
      <c r="F947" s="86" t="s">
        <v>1906</v>
      </c>
      <c r="G947" s="86" t="s">
        <v>1907</v>
      </c>
    </row>
    <row r="948" spans="1:7" ht="24">
      <c r="A948" s="87" t="s">
        <v>2</v>
      </c>
      <c r="B948" s="87">
        <v>88248</v>
      </c>
      <c r="C948" s="278" t="s">
        <v>1947</v>
      </c>
      <c r="D948" s="89" t="s">
        <v>137</v>
      </c>
      <c r="E948" s="88">
        <v>1.1459999999999999</v>
      </c>
      <c r="F948" s="89">
        <v>21.45</v>
      </c>
      <c r="G948" s="89">
        <f t="shared" ref="G948:G950" si="15">F948*E948</f>
        <v>24.581699999999998</v>
      </c>
    </row>
    <row r="949" spans="1:7" ht="24">
      <c r="A949" s="87" t="s">
        <v>2</v>
      </c>
      <c r="B949" s="87">
        <v>88267</v>
      </c>
      <c r="C949" s="278" t="s">
        <v>1949</v>
      </c>
      <c r="D949" s="89" t="s">
        <v>137</v>
      </c>
      <c r="E949" s="88">
        <v>1.1459999999999999</v>
      </c>
      <c r="F949" s="89">
        <v>26.33</v>
      </c>
      <c r="G949" s="89">
        <f t="shared" si="15"/>
        <v>30.174179999999996</v>
      </c>
    </row>
    <row r="950" spans="1:7">
      <c r="A950" s="87" t="s">
        <v>2</v>
      </c>
      <c r="B950" s="87">
        <v>88317</v>
      </c>
      <c r="C950" s="278" t="s">
        <v>1970</v>
      </c>
      <c r="D950" s="89" t="s">
        <v>137</v>
      </c>
      <c r="E950" s="88">
        <v>1.1459999999999999</v>
      </c>
      <c r="F950" s="89">
        <v>27.83</v>
      </c>
      <c r="G950" s="89">
        <f t="shared" si="15"/>
        <v>31.893179999999994</v>
      </c>
    </row>
    <row r="951" spans="1:7">
      <c r="A951" s="832" t="s">
        <v>1908</v>
      </c>
      <c r="B951" s="833"/>
      <c r="C951" s="833"/>
      <c r="D951" s="833"/>
      <c r="E951" s="833"/>
      <c r="F951" s="834"/>
      <c r="G951" s="90">
        <f>SUM(G948:G950)</f>
        <v>86.649059999999992</v>
      </c>
    </row>
    <row r="952" spans="1:7">
      <c r="A952" s="91"/>
      <c r="B952" s="92"/>
      <c r="C952" s="162"/>
      <c r="D952" s="92"/>
      <c r="E952" s="97"/>
      <c r="F952" s="98"/>
      <c r="G952" s="96"/>
    </row>
    <row r="953" spans="1:7">
      <c r="A953" s="835" t="s">
        <v>1912</v>
      </c>
      <c r="B953" s="836"/>
      <c r="C953" s="836"/>
      <c r="D953" s="836"/>
      <c r="E953" s="836"/>
      <c r="F953" s="836"/>
      <c r="G953" s="837"/>
    </row>
    <row r="954" spans="1:7">
      <c r="A954" s="84" t="s">
        <v>1903</v>
      </c>
      <c r="B954" s="84" t="s">
        <v>131</v>
      </c>
      <c r="C954" s="160" t="s">
        <v>1904</v>
      </c>
      <c r="D954" s="84" t="s">
        <v>167</v>
      </c>
      <c r="E954" s="85" t="s">
        <v>1905</v>
      </c>
      <c r="F954" s="86" t="s">
        <v>1906</v>
      </c>
      <c r="G954" s="86" t="s">
        <v>1907</v>
      </c>
    </row>
    <row r="955" spans="1:7">
      <c r="A955" s="87"/>
      <c r="B955" s="87"/>
      <c r="C955" s="278" t="s">
        <v>34</v>
      </c>
      <c r="D955" s="89" t="s">
        <v>34</v>
      </c>
      <c r="E955" s="88"/>
      <c r="F955" s="89" t="s">
        <v>34</v>
      </c>
      <c r="G955" s="89" t="s">
        <v>34</v>
      </c>
    </row>
    <row r="956" spans="1:7">
      <c r="A956" s="87"/>
      <c r="B956" s="87"/>
      <c r="C956" s="278" t="s">
        <v>34</v>
      </c>
      <c r="D956" s="89" t="s">
        <v>34</v>
      </c>
      <c r="E956" s="88"/>
      <c r="F956" s="89" t="s">
        <v>34</v>
      </c>
      <c r="G956" s="89" t="s">
        <v>34</v>
      </c>
    </row>
    <row r="957" spans="1:7">
      <c r="A957" s="832" t="s">
        <v>1908</v>
      </c>
      <c r="B957" s="833" t="s">
        <v>1908</v>
      </c>
      <c r="C957" s="833"/>
      <c r="D957" s="833"/>
      <c r="E957" s="833"/>
      <c r="F957" s="834"/>
      <c r="G957" s="90" t="s">
        <v>34</v>
      </c>
    </row>
    <row r="958" spans="1:7" ht="13.5" thickBot="1">
      <c r="A958" s="91"/>
      <c r="B958" s="92"/>
      <c r="C958" s="163"/>
      <c r="D958" s="99"/>
      <c r="E958" s="100"/>
      <c r="F958" s="101"/>
      <c r="G958" s="102"/>
    </row>
    <row r="959" spans="1:7" ht="13.5" thickBot="1">
      <c r="A959" s="838" t="s">
        <v>1259</v>
      </c>
      <c r="B959" s="839"/>
      <c r="C959" s="839"/>
      <c r="D959" s="839"/>
      <c r="E959" s="839"/>
      <c r="F959" s="840"/>
      <c r="G959" s="103">
        <f>SUM(G957,G951,G944)</f>
        <v>455.98209112999996</v>
      </c>
    </row>
    <row r="962" spans="1:11">
      <c r="A962" s="237" t="s">
        <v>131</v>
      </c>
      <c r="B962" s="190" t="s">
        <v>27</v>
      </c>
      <c r="C962" s="841" t="s">
        <v>1281</v>
      </c>
      <c r="D962" s="841"/>
      <c r="E962" s="841"/>
      <c r="F962" s="841"/>
      <c r="G962" s="81" t="s">
        <v>127</v>
      </c>
      <c r="I962" s="480" t="s">
        <v>1901</v>
      </c>
      <c r="J962" s="80"/>
      <c r="K962" s="80"/>
    </row>
    <row r="963" spans="1:11" ht="50.1" customHeight="1">
      <c r="A963" s="179" t="s">
        <v>466</v>
      </c>
      <c r="B963" s="82"/>
      <c r="C963" s="830" t="s">
        <v>1563</v>
      </c>
      <c r="D963" s="831"/>
      <c r="E963" s="831"/>
      <c r="F963" s="186">
        <f>G989</f>
        <v>230.74370971999997</v>
      </c>
      <c r="G963" s="83" t="s">
        <v>180</v>
      </c>
      <c r="I963" s="481"/>
      <c r="J963" s="272"/>
      <c r="K963" s="272"/>
    </row>
    <row r="964" spans="1:11">
      <c r="A964" s="818" t="s">
        <v>1902</v>
      </c>
      <c r="B964" s="819"/>
      <c r="C964" s="819"/>
      <c r="D964" s="819"/>
      <c r="E964" s="819"/>
      <c r="F964" s="819"/>
      <c r="G964" s="820"/>
    </row>
    <row r="965" spans="1:11">
      <c r="A965" s="84" t="s">
        <v>1903</v>
      </c>
      <c r="B965" s="84" t="s">
        <v>131</v>
      </c>
      <c r="C965" s="160" t="s">
        <v>1904</v>
      </c>
      <c r="D965" s="84" t="s">
        <v>167</v>
      </c>
      <c r="E965" s="85" t="s">
        <v>1905</v>
      </c>
      <c r="F965" s="86" t="s">
        <v>1906</v>
      </c>
      <c r="G965" s="86" t="s">
        <v>1907</v>
      </c>
    </row>
    <row r="966" spans="1:11" ht="24">
      <c r="A966" s="87" t="s">
        <v>2</v>
      </c>
      <c r="B966" s="87">
        <v>21148</v>
      </c>
      <c r="C966" s="278" t="s">
        <v>1984</v>
      </c>
      <c r="D966" s="89" t="s">
        <v>1944</v>
      </c>
      <c r="E966" s="88">
        <v>1.0389999999999999</v>
      </c>
      <c r="F966" s="89">
        <v>119.46</v>
      </c>
      <c r="G966" s="89">
        <f>F966*E966</f>
        <v>124.11893999999998</v>
      </c>
    </row>
    <row r="967" spans="1:11" ht="60">
      <c r="A967" s="87" t="s">
        <v>3</v>
      </c>
      <c r="B967" s="87" t="s">
        <v>1966</v>
      </c>
      <c r="C967" s="278" t="s">
        <v>1967</v>
      </c>
      <c r="D967" s="89" t="s">
        <v>180</v>
      </c>
      <c r="E967" s="88">
        <v>0.65</v>
      </c>
      <c r="F967" s="89">
        <v>15.97</v>
      </c>
      <c r="G967" s="89">
        <f>IF(D967="","",E967*F967)</f>
        <v>10.380500000000001</v>
      </c>
    </row>
    <row r="968" spans="1:11" ht="38.25" customHeight="1">
      <c r="A968" s="87" t="s">
        <v>1917</v>
      </c>
      <c r="B968" s="87" t="str">
        <f>'Mapa Cotações'!A187</f>
        <v>COT-0194</v>
      </c>
      <c r="C968" s="278" t="str">
        <f>'Mapa Cotações'!B187</f>
        <v>CALHA EM POLIESTIRENO (ISOPOR) EXPANDIDO, AUTO EXTINGUÍVEL, GRAU F1,COM 11/2" DE ESPESSURA - DIÂMETRO = 2" (TUBO DE EPS-T2-F(densidade de 11 a 13
kg/m³) 1000x139,7x139,7(63,5int/38,1par))</v>
      </c>
      <c r="D968" s="89" t="s">
        <v>180</v>
      </c>
      <c r="E968" s="88">
        <v>1.0389999999999999</v>
      </c>
      <c r="F968" s="89">
        <f>'Mapa Cotações'!M187</f>
        <v>28.3</v>
      </c>
      <c r="G968" s="89">
        <f t="shared" ref="G968:G973" si="16">F968*E968</f>
        <v>29.403699999999997</v>
      </c>
    </row>
    <row r="969" spans="1:11">
      <c r="A969" s="87" t="s">
        <v>1917</v>
      </c>
      <c r="B969" s="87" t="s">
        <v>1968</v>
      </c>
      <c r="C969" s="278" t="s">
        <v>1972</v>
      </c>
      <c r="D969" s="89" t="s">
        <v>167</v>
      </c>
      <c r="E969" s="88">
        <v>3.9898000000000003E-2</v>
      </c>
      <c r="F969" s="89">
        <v>406.02</v>
      </c>
      <c r="G969" s="89">
        <f t="shared" si="16"/>
        <v>16.199385960000001</v>
      </c>
    </row>
    <row r="970" spans="1:11">
      <c r="A970" s="87" t="s">
        <v>1917</v>
      </c>
      <c r="B970" s="87" t="s">
        <v>1973</v>
      </c>
      <c r="C970" s="278" t="s">
        <v>1974</v>
      </c>
      <c r="D970" s="89" t="s">
        <v>167</v>
      </c>
      <c r="E970" s="88">
        <v>0.498728</v>
      </c>
      <c r="F970" s="89">
        <v>31.47</v>
      </c>
      <c r="G970" s="89">
        <f t="shared" si="16"/>
        <v>15.69497016</v>
      </c>
    </row>
    <row r="971" spans="1:11" ht="24">
      <c r="A971" s="87" t="s">
        <v>1917</v>
      </c>
      <c r="B971" s="87" t="s">
        <v>1975</v>
      </c>
      <c r="C971" s="278" t="s">
        <v>1976</v>
      </c>
      <c r="D971" s="89" t="s">
        <v>180</v>
      </c>
      <c r="E971" s="88">
        <v>7.9799999999999992E-3</v>
      </c>
      <c r="F971" s="89">
        <v>1499.2</v>
      </c>
      <c r="G971" s="89">
        <f t="shared" si="16"/>
        <v>11.963616</v>
      </c>
    </row>
    <row r="972" spans="1:11">
      <c r="A972" s="87" t="s">
        <v>1917</v>
      </c>
      <c r="B972" s="87" t="s">
        <v>1977</v>
      </c>
      <c r="C972" s="278" t="s">
        <v>1978</v>
      </c>
      <c r="D972" s="89" t="s">
        <v>180</v>
      </c>
      <c r="E972" s="88">
        <f>E971*4</f>
        <v>3.1919999999999997E-2</v>
      </c>
      <c r="F972" s="89">
        <v>99.53</v>
      </c>
      <c r="G972" s="89">
        <f t="shared" si="16"/>
        <v>3.1769975999999995</v>
      </c>
    </row>
    <row r="973" spans="1:11">
      <c r="A973" s="87" t="s">
        <v>1917</v>
      </c>
      <c r="B973" s="87" t="s">
        <v>1979</v>
      </c>
      <c r="C973" s="278" t="s">
        <v>1969</v>
      </c>
      <c r="D973" s="89" t="s">
        <v>167</v>
      </c>
      <c r="E973" s="88">
        <v>1.4999999999999999E-2</v>
      </c>
      <c r="F973" s="89">
        <v>46.24</v>
      </c>
      <c r="G973" s="89">
        <f t="shared" si="16"/>
        <v>0.69359999999999999</v>
      </c>
    </row>
    <row r="974" spans="1:11">
      <c r="A974" s="832" t="s">
        <v>1908</v>
      </c>
      <c r="B974" s="833"/>
      <c r="C974" s="833"/>
      <c r="D974" s="833"/>
      <c r="E974" s="833"/>
      <c r="F974" s="834"/>
      <c r="G974" s="90">
        <f>SUM(G966:G973)</f>
        <v>211.63170971999998</v>
      </c>
    </row>
    <row r="975" spans="1:11">
      <c r="A975" s="91"/>
      <c r="B975" s="92"/>
      <c r="C975" s="161"/>
      <c r="D975" s="93"/>
      <c r="E975" s="94"/>
      <c r="F975" s="95"/>
      <c r="G975" s="96"/>
    </row>
    <row r="976" spans="1:11">
      <c r="A976" s="835" t="s">
        <v>1909</v>
      </c>
      <c r="B976" s="836"/>
      <c r="C976" s="836"/>
      <c r="D976" s="836"/>
      <c r="E976" s="836"/>
      <c r="F976" s="836"/>
      <c r="G976" s="837"/>
    </row>
    <row r="977" spans="1:11">
      <c r="A977" s="84" t="s">
        <v>1903</v>
      </c>
      <c r="B977" s="84" t="s">
        <v>131</v>
      </c>
      <c r="C977" s="160" t="s">
        <v>1904</v>
      </c>
      <c r="D977" s="84" t="s">
        <v>167</v>
      </c>
      <c r="E977" s="85" t="s">
        <v>1905</v>
      </c>
      <c r="F977" s="86" t="s">
        <v>1906</v>
      </c>
      <c r="G977" s="86" t="s">
        <v>1907</v>
      </c>
    </row>
    <row r="978" spans="1:11" ht="24">
      <c r="A978" s="87" t="s">
        <v>2</v>
      </c>
      <c r="B978" s="87">
        <v>88248</v>
      </c>
      <c r="C978" s="278" t="s">
        <v>1947</v>
      </c>
      <c r="D978" s="89" t="s">
        <v>137</v>
      </c>
      <c r="E978" s="88">
        <v>0.4</v>
      </c>
      <c r="F978" s="89">
        <v>21.45</v>
      </c>
      <c r="G978" s="89">
        <f t="shared" ref="G978:G979" si="17">F978*E978</f>
        <v>8.58</v>
      </c>
    </row>
    <row r="979" spans="1:11" ht="24">
      <c r="A979" s="87" t="s">
        <v>2</v>
      </c>
      <c r="B979" s="87">
        <v>88267</v>
      </c>
      <c r="C979" s="278" t="s">
        <v>1949</v>
      </c>
      <c r="D979" s="89" t="s">
        <v>137</v>
      </c>
      <c r="E979" s="88">
        <v>0.4</v>
      </c>
      <c r="F979" s="89">
        <v>26.33</v>
      </c>
      <c r="G979" s="89">
        <f t="shared" si="17"/>
        <v>10.532</v>
      </c>
    </row>
    <row r="980" spans="1:11">
      <c r="A980" s="87"/>
      <c r="B980" s="87"/>
      <c r="C980" s="278"/>
      <c r="D980" s="89"/>
      <c r="E980" s="88"/>
      <c r="F980" s="89"/>
      <c r="G980" s="89"/>
    </row>
    <row r="981" spans="1:11">
      <c r="A981" s="832" t="s">
        <v>1908</v>
      </c>
      <c r="B981" s="833"/>
      <c r="C981" s="833"/>
      <c r="D981" s="833"/>
      <c r="E981" s="833"/>
      <c r="F981" s="834"/>
      <c r="G981" s="90">
        <f>SUM(G978:G980)</f>
        <v>19.112000000000002</v>
      </c>
    </row>
    <row r="982" spans="1:11">
      <c r="A982" s="91"/>
      <c r="B982" s="92"/>
      <c r="C982" s="162"/>
      <c r="D982" s="92"/>
      <c r="E982" s="97"/>
      <c r="F982" s="98"/>
      <c r="G982" s="96"/>
    </row>
    <row r="983" spans="1:11">
      <c r="A983" s="835" t="s">
        <v>1912</v>
      </c>
      <c r="B983" s="836"/>
      <c r="C983" s="836"/>
      <c r="D983" s="836"/>
      <c r="E983" s="836"/>
      <c r="F983" s="836"/>
      <c r="G983" s="837"/>
    </row>
    <row r="984" spans="1:11">
      <c r="A984" s="84" t="s">
        <v>1903</v>
      </c>
      <c r="B984" s="84" t="s">
        <v>131</v>
      </c>
      <c r="C984" s="160" t="s">
        <v>1904</v>
      </c>
      <c r="D984" s="84" t="s">
        <v>167</v>
      </c>
      <c r="E984" s="85" t="s">
        <v>1905</v>
      </c>
      <c r="F984" s="86" t="s">
        <v>1906</v>
      </c>
      <c r="G984" s="86" t="s">
        <v>1907</v>
      </c>
    </row>
    <row r="985" spans="1:11">
      <c r="A985" s="87"/>
      <c r="B985" s="87"/>
      <c r="C985" s="278" t="s">
        <v>34</v>
      </c>
      <c r="D985" s="89" t="s">
        <v>34</v>
      </c>
      <c r="E985" s="88"/>
      <c r="F985" s="89" t="s">
        <v>34</v>
      </c>
      <c r="G985" s="89" t="s">
        <v>34</v>
      </c>
    </row>
    <row r="986" spans="1:11">
      <c r="A986" s="87"/>
      <c r="B986" s="87"/>
      <c r="C986" s="278" t="s">
        <v>34</v>
      </c>
      <c r="D986" s="89" t="s">
        <v>34</v>
      </c>
      <c r="E986" s="88"/>
      <c r="F986" s="89" t="s">
        <v>34</v>
      </c>
      <c r="G986" s="89" t="s">
        <v>34</v>
      </c>
    </row>
    <row r="987" spans="1:11">
      <c r="A987" s="832" t="s">
        <v>1908</v>
      </c>
      <c r="B987" s="833" t="s">
        <v>1908</v>
      </c>
      <c r="C987" s="833"/>
      <c r="D987" s="833"/>
      <c r="E987" s="833"/>
      <c r="F987" s="834"/>
      <c r="G987" s="90" t="s">
        <v>34</v>
      </c>
    </row>
    <row r="988" spans="1:11" ht="13.5" thickBot="1">
      <c r="A988" s="91"/>
      <c r="B988" s="92"/>
      <c r="C988" s="163"/>
      <c r="D988" s="99"/>
      <c r="E988" s="100"/>
      <c r="F988" s="101"/>
      <c r="G988" s="102"/>
    </row>
    <row r="989" spans="1:11" ht="13.5" thickBot="1">
      <c r="A989" s="838" t="s">
        <v>1259</v>
      </c>
      <c r="B989" s="839"/>
      <c r="C989" s="839"/>
      <c r="D989" s="839"/>
      <c r="E989" s="839"/>
      <c r="F989" s="840"/>
      <c r="G989" s="103">
        <f>G981+G974</f>
        <v>230.74370971999997</v>
      </c>
    </row>
    <row r="992" spans="1:11">
      <c r="A992" s="237" t="s">
        <v>131</v>
      </c>
      <c r="B992" s="190" t="s">
        <v>27</v>
      </c>
      <c r="C992" s="841" t="s">
        <v>1281</v>
      </c>
      <c r="D992" s="841"/>
      <c r="E992" s="841"/>
      <c r="F992" s="841"/>
      <c r="G992" s="81" t="s">
        <v>127</v>
      </c>
      <c r="I992" s="480" t="s">
        <v>1901</v>
      </c>
      <c r="J992" s="80"/>
      <c r="K992" s="80"/>
    </row>
    <row r="993" spans="1:11" ht="50.1" customHeight="1">
      <c r="A993" s="179" t="s">
        <v>469</v>
      </c>
      <c r="B993" s="82"/>
      <c r="C993" s="830" t="s">
        <v>1565</v>
      </c>
      <c r="D993" s="831"/>
      <c r="E993" s="831"/>
      <c r="F993" s="186">
        <f>G1019</f>
        <v>193.85719525000002</v>
      </c>
      <c r="G993" s="83" t="s">
        <v>180</v>
      </c>
      <c r="I993" s="481"/>
      <c r="J993" s="272"/>
      <c r="K993" s="272"/>
    </row>
    <row r="994" spans="1:11">
      <c r="A994" s="818" t="s">
        <v>1902</v>
      </c>
      <c r="B994" s="819"/>
      <c r="C994" s="819"/>
      <c r="D994" s="819"/>
      <c r="E994" s="819"/>
      <c r="F994" s="819"/>
      <c r="G994" s="820"/>
    </row>
    <row r="995" spans="1:11">
      <c r="A995" s="84" t="s">
        <v>1903</v>
      </c>
      <c r="B995" s="84" t="s">
        <v>131</v>
      </c>
      <c r="C995" s="160" t="s">
        <v>1904</v>
      </c>
      <c r="D995" s="84" t="s">
        <v>167</v>
      </c>
      <c r="E995" s="85" t="s">
        <v>1905</v>
      </c>
      <c r="F995" s="86" t="s">
        <v>1906</v>
      </c>
      <c r="G995" s="86" t="s">
        <v>1907</v>
      </c>
    </row>
    <row r="996" spans="1:11" ht="24">
      <c r="A996" s="87" t="s">
        <v>2</v>
      </c>
      <c r="B996" s="87">
        <v>40624</v>
      </c>
      <c r="C996" s="278" t="s">
        <v>1985</v>
      </c>
      <c r="D996" s="89" t="s">
        <v>1944</v>
      </c>
      <c r="E996" s="88">
        <v>1.0389999999999999</v>
      </c>
      <c r="F996" s="89">
        <v>97.35</v>
      </c>
      <c r="G996" s="89">
        <f>F996*E996</f>
        <v>101.14664999999998</v>
      </c>
    </row>
    <row r="997" spans="1:11" ht="60">
      <c r="A997" s="87" t="s">
        <v>3</v>
      </c>
      <c r="B997" s="87" t="s">
        <v>1966</v>
      </c>
      <c r="C997" s="278" t="s">
        <v>1967</v>
      </c>
      <c r="D997" s="89" t="s">
        <v>180</v>
      </c>
      <c r="E997" s="88">
        <v>0.5</v>
      </c>
      <c r="F997" s="89">
        <v>15.97</v>
      </c>
      <c r="G997" s="89">
        <f>IF(D997="","",E997*F997)</f>
        <v>7.9850000000000003</v>
      </c>
    </row>
    <row r="998" spans="1:11" ht="42" customHeight="1">
      <c r="A998" s="87" t="s">
        <v>1917</v>
      </c>
      <c r="B998" s="87" t="str">
        <f>'Mapa Cotações'!A188</f>
        <v>COT-0195</v>
      </c>
      <c r="C998" s="278" t="str">
        <f>'Mapa Cotações'!B188</f>
        <v>CALHA EM POLIESTIRENO (ISOPOR) EXPANDIDO, AUTO EXTINGUÍVEL, GRAU F1,COM 11/2" DE ESPESSURA - DIÂMETRO = 11/2" (TUBO DE EPS-T2-F(densidade de 11 a 13
kg/m³) 1000x127x127(50,8int/38,1par))</v>
      </c>
      <c r="D998" s="89" t="s">
        <v>180</v>
      </c>
      <c r="E998" s="88">
        <v>1.0389999999999999</v>
      </c>
      <c r="F998" s="89">
        <f>'Mapa Cotações'!M188</f>
        <v>24.04</v>
      </c>
      <c r="G998" s="89">
        <f t="shared" ref="G998:G1003" si="18">F998*E998</f>
        <v>24.977559999999997</v>
      </c>
    </row>
    <row r="999" spans="1:11">
      <c r="A999" s="87" t="s">
        <v>1917</v>
      </c>
      <c r="B999" s="87" t="s">
        <v>1968</v>
      </c>
      <c r="C999" s="278" t="s">
        <v>1972</v>
      </c>
      <c r="D999" s="89" t="s">
        <v>167</v>
      </c>
      <c r="E999" s="88">
        <v>3.5908000000000002E-2</v>
      </c>
      <c r="F999" s="89">
        <v>406.02</v>
      </c>
      <c r="G999" s="89">
        <f t="shared" si="18"/>
        <v>14.579366160000001</v>
      </c>
    </row>
    <row r="1000" spans="1:11">
      <c r="A1000" s="87" t="s">
        <v>1917</v>
      </c>
      <c r="B1000" s="87" t="s">
        <v>1973</v>
      </c>
      <c r="C1000" s="278" t="s">
        <v>1974</v>
      </c>
      <c r="D1000" s="89" t="s">
        <v>167</v>
      </c>
      <c r="E1000" s="88">
        <v>0.448855</v>
      </c>
      <c r="F1000" s="89">
        <v>31.47</v>
      </c>
      <c r="G1000" s="89">
        <f t="shared" si="18"/>
        <v>14.12546685</v>
      </c>
    </row>
    <row r="1001" spans="1:11" ht="24">
      <c r="A1001" s="87" t="s">
        <v>1917</v>
      </c>
      <c r="B1001" s="87" t="s">
        <v>1975</v>
      </c>
      <c r="C1001" s="278" t="s">
        <v>1976</v>
      </c>
      <c r="D1001" s="89" t="s">
        <v>180</v>
      </c>
      <c r="E1001" s="88">
        <v>7.182E-3</v>
      </c>
      <c r="F1001" s="89">
        <v>1499.2</v>
      </c>
      <c r="G1001" s="89">
        <f t="shared" si="18"/>
        <v>10.767254400000001</v>
      </c>
    </row>
    <row r="1002" spans="1:11">
      <c r="A1002" s="87" t="s">
        <v>1917</v>
      </c>
      <c r="B1002" s="87" t="s">
        <v>1977</v>
      </c>
      <c r="C1002" s="278" t="s">
        <v>1978</v>
      </c>
      <c r="D1002" s="89" t="s">
        <v>180</v>
      </c>
      <c r="E1002" s="88">
        <f>E1001*4</f>
        <v>2.8728E-2</v>
      </c>
      <c r="F1002" s="89">
        <v>99.53</v>
      </c>
      <c r="G1002" s="89">
        <f t="shared" si="18"/>
        <v>2.85929784</v>
      </c>
    </row>
    <row r="1003" spans="1:11">
      <c r="A1003" s="87" t="s">
        <v>1917</v>
      </c>
      <c r="B1003" s="87" t="s">
        <v>1979</v>
      </c>
      <c r="C1003" s="278" t="s">
        <v>1969</v>
      </c>
      <c r="D1003" s="89" t="s">
        <v>167</v>
      </c>
      <c r="E1003" s="88">
        <v>1.4999999999999999E-2</v>
      </c>
      <c r="F1003" s="89">
        <v>46.24</v>
      </c>
      <c r="G1003" s="89">
        <f t="shared" si="18"/>
        <v>0.69359999999999999</v>
      </c>
    </row>
    <row r="1004" spans="1:11">
      <c r="A1004" s="832" t="s">
        <v>1908</v>
      </c>
      <c r="B1004" s="833"/>
      <c r="C1004" s="833"/>
      <c r="D1004" s="833"/>
      <c r="E1004" s="833"/>
      <c r="F1004" s="834"/>
      <c r="G1004" s="90">
        <f>SUM(G996:G1003)</f>
        <v>177.13419525</v>
      </c>
    </row>
    <row r="1005" spans="1:11">
      <c r="A1005" s="91"/>
      <c r="B1005" s="92"/>
      <c r="C1005" s="161"/>
      <c r="D1005" s="93"/>
      <c r="E1005" s="94"/>
      <c r="F1005" s="95"/>
      <c r="G1005" s="96"/>
    </row>
    <row r="1006" spans="1:11">
      <c r="A1006" s="835" t="s">
        <v>1909</v>
      </c>
      <c r="B1006" s="836"/>
      <c r="C1006" s="836"/>
      <c r="D1006" s="836"/>
      <c r="E1006" s="836"/>
      <c r="F1006" s="836"/>
      <c r="G1006" s="837"/>
    </row>
    <row r="1007" spans="1:11">
      <c r="A1007" s="84" t="s">
        <v>1903</v>
      </c>
      <c r="B1007" s="84" t="s">
        <v>131</v>
      </c>
      <c r="C1007" s="160" t="s">
        <v>1904</v>
      </c>
      <c r="D1007" s="84" t="s">
        <v>167</v>
      </c>
      <c r="E1007" s="85" t="s">
        <v>1905</v>
      </c>
      <c r="F1007" s="86" t="s">
        <v>1906</v>
      </c>
      <c r="G1007" s="86" t="s">
        <v>1907</v>
      </c>
    </row>
    <row r="1008" spans="1:11" ht="24">
      <c r="A1008" s="87" t="s">
        <v>2</v>
      </c>
      <c r="B1008" s="87">
        <v>88248</v>
      </c>
      <c r="C1008" s="278" t="s">
        <v>1947</v>
      </c>
      <c r="D1008" s="89" t="s">
        <v>137</v>
      </c>
      <c r="E1008" s="88">
        <v>0.35</v>
      </c>
      <c r="F1008" s="89">
        <v>21.45</v>
      </c>
      <c r="G1008" s="89">
        <f t="shared" ref="G1008:G1009" si="19">F1008*E1008</f>
        <v>7.5074999999999994</v>
      </c>
    </row>
    <row r="1009" spans="1:11" ht="24">
      <c r="A1009" s="87" t="s">
        <v>2</v>
      </c>
      <c r="B1009" s="87">
        <v>88267</v>
      </c>
      <c r="C1009" s="278" t="s">
        <v>1949</v>
      </c>
      <c r="D1009" s="89" t="s">
        <v>137</v>
      </c>
      <c r="E1009" s="88">
        <v>0.35</v>
      </c>
      <c r="F1009" s="89">
        <v>26.33</v>
      </c>
      <c r="G1009" s="89">
        <f t="shared" si="19"/>
        <v>9.2154999999999987</v>
      </c>
    </row>
    <row r="1010" spans="1:11">
      <c r="A1010" s="87"/>
      <c r="B1010" s="87"/>
      <c r="C1010" s="278"/>
      <c r="D1010" s="89"/>
      <c r="E1010" s="88"/>
      <c r="F1010" s="89"/>
      <c r="G1010" s="89"/>
    </row>
    <row r="1011" spans="1:11">
      <c r="A1011" s="832" t="s">
        <v>1908</v>
      </c>
      <c r="B1011" s="833"/>
      <c r="C1011" s="833"/>
      <c r="D1011" s="833"/>
      <c r="E1011" s="833"/>
      <c r="F1011" s="834"/>
      <c r="G1011" s="90">
        <f>SUM(G1008:G1010)</f>
        <v>16.722999999999999</v>
      </c>
    </row>
    <row r="1012" spans="1:11">
      <c r="A1012" s="91"/>
      <c r="B1012" s="92"/>
      <c r="C1012" s="162"/>
      <c r="D1012" s="92"/>
      <c r="E1012" s="97"/>
      <c r="F1012" s="98"/>
      <c r="G1012" s="96"/>
    </row>
    <row r="1013" spans="1:11">
      <c r="A1013" s="835" t="s">
        <v>1912</v>
      </c>
      <c r="B1013" s="836"/>
      <c r="C1013" s="836"/>
      <c r="D1013" s="836"/>
      <c r="E1013" s="836"/>
      <c r="F1013" s="836"/>
      <c r="G1013" s="837"/>
    </row>
    <row r="1014" spans="1:11">
      <c r="A1014" s="84" t="s">
        <v>1903</v>
      </c>
      <c r="B1014" s="84" t="s">
        <v>131</v>
      </c>
      <c r="C1014" s="160" t="s">
        <v>1904</v>
      </c>
      <c r="D1014" s="84" t="s">
        <v>167</v>
      </c>
      <c r="E1014" s="85" t="s">
        <v>1905</v>
      </c>
      <c r="F1014" s="86" t="s">
        <v>1906</v>
      </c>
      <c r="G1014" s="86" t="s">
        <v>1907</v>
      </c>
    </row>
    <row r="1015" spans="1:11">
      <c r="A1015" s="87"/>
      <c r="B1015" s="87"/>
      <c r="C1015" s="278" t="s">
        <v>34</v>
      </c>
      <c r="D1015" s="89" t="s">
        <v>34</v>
      </c>
      <c r="E1015" s="88"/>
      <c r="F1015" s="89" t="s">
        <v>34</v>
      </c>
      <c r="G1015" s="89" t="s">
        <v>34</v>
      </c>
    </row>
    <row r="1016" spans="1:11">
      <c r="A1016" s="87"/>
      <c r="B1016" s="87"/>
      <c r="C1016" s="278" t="s">
        <v>34</v>
      </c>
      <c r="D1016" s="89" t="s">
        <v>34</v>
      </c>
      <c r="E1016" s="88"/>
      <c r="F1016" s="89" t="s">
        <v>34</v>
      </c>
      <c r="G1016" s="89" t="s">
        <v>34</v>
      </c>
    </row>
    <row r="1017" spans="1:11">
      <c r="A1017" s="832" t="s">
        <v>1908</v>
      </c>
      <c r="B1017" s="833" t="s">
        <v>1908</v>
      </c>
      <c r="C1017" s="833"/>
      <c r="D1017" s="833"/>
      <c r="E1017" s="833"/>
      <c r="F1017" s="834"/>
      <c r="G1017" s="90" t="s">
        <v>34</v>
      </c>
    </row>
    <row r="1018" spans="1:11" ht="13.5" thickBot="1">
      <c r="A1018" s="91"/>
      <c r="B1018" s="92"/>
      <c r="C1018" s="163"/>
      <c r="D1018" s="99"/>
      <c r="E1018" s="100"/>
      <c r="F1018" s="101"/>
      <c r="G1018" s="102"/>
    </row>
    <row r="1019" spans="1:11" ht="13.5" thickBot="1">
      <c r="A1019" s="838" t="s">
        <v>1259</v>
      </c>
      <c r="B1019" s="839"/>
      <c r="C1019" s="839"/>
      <c r="D1019" s="839"/>
      <c r="E1019" s="839"/>
      <c r="F1019" s="840"/>
      <c r="G1019" s="103">
        <f>G1011+G1004</f>
        <v>193.85719525000002</v>
      </c>
    </row>
    <row r="1022" spans="1:11">
      <c r="A1022" s="237" t="s">
        <v>131</v>
      </c>
      <c r="B1022" s="190" t="s">
        <v>27</v>
      </c>
      <c r="C1022" s="841" t="s">
        <v>1281</v>
      </c>
      <c r="D1022" s="841"/>
      <c r="E1022" s="841"/>
      <c r="F1022" s="841"/>
      <c r="G1022" s="81" t="s">
        <v>127</v>
      </c>
      <c r="I1022" s="480" t="s">
        <v>1901</v>
      </c>
      <c r="J1022" s="80"/>
      <c r="K1022" s="80"/>
    </row>
    <row r="1023" spans="1:11" ht="50.1" customHeight="1">
      <c r="A1023" s="179" t="s">
        <v>472</v>
      </c>
      <c r="B1023" s="82"/>
      <c r="C1023" s="830" t="s">
        <v>1567</v>
      </c>
      <c r="D1023" s="831"/>
      <c r="E1023" s="831"/>
      <c r="F1023" s="186">
        <f>G1049</f>
        <v>177.54167874999999</v>
      </c>
      <c r="G1023" s="83" t="s">
        <v>180</v>
      </c>
      <c r="I1023" s="481"/>
      <c r="J1023" s="272"/>
      <c r="K1023" s="272"/>
    </row>
    <row r="1024" spans="1:11">
      <c r="A1024" s="818" t="s">
        <v>1902</v>
      </c>
      <c r="B1024" s="819"/>
      <c r="C1024" s="819"/>
      <c r="D1024" s="819"/>
      <c r="E1024" s="819"/>
      <c r="F1024" s="819"/>
      <c r="G1024" s="820"/>
    </row>
    <row r="1025" spans="1:7">
      <c r="A1025" s="84" t="s">
        <v>1903</v>
      </c>
      <c r="B1025" s="84" t="s">
        <v>131</v>
      </c>
      <c r="C1025" s="160" t="s">
        <v>1904</v>
      </c>
      <c r="D1025" s="84" t="s">
        <v>167</v>
      </c>
      <c r="E1025" s="85" t="s">
        <v>1905</v>
      </c>
      <c r="F1025" s="86" t="s">
        <v>1906</v>
      </c>
      <c r="G1025" s="86" t="s">
        <v>1907</v>
      </c>
    </row>
    <row r="1026" spans="1:7" ht="24">
      <c r="A1026" s="87" t="s">
        <v>2</v>
      </c>
      <c r="B1026" s="87">
        <v>42575</v>
      </c>
      <c r="C1026" s="278" t="s">
        <v>1986</v>
      </c>
      <c r="D1026" s="89" t="s">
        <v>1944</v>
      </c>
      <c r="E1026" s="88">
        <v>1.0389999999999999</v>
      </c>
      <c r="F1026" s="89">
        <v>89.33</v>
      </c>
      <c r="G1026" s="89">
        <f>F1026*E1026</f>
        <v>92.813869999999994</v>
      </c>
    </row>
    <row r="1027" spans="1:7" ht="60">
      <c r="A1027" s="87" t="s">
        <v>3</v>
      </c>
      <c r="B1027" s="87" t="s">
        <v>1966</v>
      </c>
      <c r="C1027" s="278" t="s">
        <v>1967</v>
      </c>
      <c r="D1027" s="89" t="s">
        <v>180</v>
      </c>
      <c r="E1027" s="88">
        <v>0.5</v>
      </c>
      <c r="F1027" s="89">
        <v>15.97</v>
      </c>
      <c r="G1027" s="89">
        <f>IF(D1027="","",E1027*F1027)</f>
        <v>7.9850000000000003</v>
      </c>
    </row>
    <row r="1028" spans="1:7" ht="42" customHeight="1">
      <c r="A1028" s="87" t="s">
        <v>1917</v>
      </c>
      <c r="B1028" s="87" t="str">
        <f>'Mapa Cotações'!A189</f>
        <v>COT-0196</v>
      </c>
      <c r="C1028" s="278" t="str">
        <f>'Mapa Cotações'!B189</f>
        <v>CALHA EM POLIESTIRENO (ISOPOR) EXPANDIDO, AUTO EXTINGUÍVEL, GRAU F1,COM 11/2" DE ESPESSURA - DIÂMETRO = 11/4" (TUBO DE EPS-T2-F(densidade de 11 a 13
kg/m³) 1000x114,30x114x3(38,1int/38,1par))</v>
      </c>
      <c r="D1028" s="89" t="s">
        <v>180</v>
      </c>
      <c r="E1028" s="88">
        <v>1.0389999999999999</v>
      </c>
      <c r="F1028" s="89">
        <f>'Mapa Cotações'!M189</f>
        <v>20</v>
      </c>
      <c r="G1028" s="89">
        <f t="shared" ref="G1028:G1033" si="20">F1028*E1028</f>
        <v>20.779999999999998</v>
      </c>
    </row>
    <row r="1029" spans="1:7">
      <c r="A1029" s="87" t="s">
        <v>1917</v>
      </c>
      <c r="B1029" s="87" t="s">
        <v>1968</v>
      </c>
      <c r="C1029" s="278" t="s">
        <v>1972</v>
      </c>
      <c r="D1029" s="89" t="s">
        <v>167</v>
      </c>
      <c r="E1029" s="88">
        <v>3.3912999999999999E-2</v>
      </c>
      <c r="F1029" s="89">
        <v>406.02</v>
      </c>
      <c r="G1029" s="89">
        <f t="shared" si="20"/>
        <v>13.769356259999999</v>
      </c>
    </row>
    <row r="1030" spans="1:7">
      <c r="A1030" s="87" t="s">
        <v>1917</v>
      </c>
      <c r="B1030" s="87" t="s">
        <v>1973</v>
      </c>
      <c r="C1030" s="278" t="s">
        <v>1974</v>
      </c>
      <c r="D1030" s="89" t="s">
        <v>167</v>
      </c>
      <c r="E1030" s="88">
        <v>0.42391899999999999</v>
      </c>
      <c r="F1030" s="89">
        <v>31.47</v>
      </c>
      <c r="G1030" s="89">
        <f t="shared" si="20"/>
        <v>13.340730929999999</v>
      </c>
    </row>
    <row r="1031" spans="1:7" ht="24">
      <c r="A1031" s="87" t="s">
        <v>1917</v>
      </c>
      <c r="B1031" s="87" t="s">
        <v>1975</v>
      </c>
      <c r="C1031" s="278" t="s">
        <v>1976</v>
      </c>
      <c r="D1031" s="89" t="s">
        <v>180</v>
      </c>
      <c r="E1031" s="88">
        <v>6.783E-3</v>
      </c>
      <c r="F1031" s="89">
        <v>1499.2</v>
      </c>
      <c r="G1031" s="89">
        <f t="shared" si="20"/>
        <v>10.169073600000001</v>
      </c>
    </row>
    <row r="1032" spans="1:7">
      <c r="A1032" s="87" t="s">
        <v>1917</v>
      </c>
      <c r="B1032" s="87" t="s">
        <v>1977</v>
      </c>
      <c r="C1032" s="278" t="s">
        <v>1978</v>
      </c>
      <c r="D1032" s="89" t="s">
        <v>180</v>
      </c>
      <c r="E1032" s="88">
        <f>E1031*4</f>
        <v>2.7132E-2</v>
      </c>
      <c r="F1032" s="89">
        <v>99.53</v>
      </c>
      <c r="G1032" s="89">
        <f t="shared" si="20"/>
        <v>2.70044796</v>
      </c>
    </row>
    <row r="1033" spans="1:7">
      <c r="A1033" s="87" t="s">
        <v>1917</v>
      </c>
      <c r="B1033" s="87" t="s">
        <v>1979</v>
      </c>
      <c r="C1033" s="278" t="s">
        <v>1969</v>
      </c>
      <c r="D1033" s="89" t="s">
        <v>167</v>
      </c>
      <c r="E1033" s="88">
        <v>1.4999999999999999E-2</v>
      </c>
      <c r="F1033" s="89">
        <v>46.24</v>
      </c>
      <c r="G1033" s="89">
        <f t="shared" si="20"/>
        <v>0.69359999999999999</v>
      </c>
    </row>
    <row r="1034" spans="1:7">
      <c r="A1034" s="832" t="s">
        <v>1908</v>
      </c>
      <c r="B1034" s="833"/>
      <c r="C1034" s="833"/>
      <c r="D1034" s="833"/>
      <c r="E1034" s="833"/>
      <c r="F1034" s="834"/>
      <c r="G1034" s="90">
        <f>SUM(G1026:G1033)</f>
        <v>162.25207874999998</v>
      </c>
    </row>
    <row r="1035" spans="1:7">
      <c r="A1035" s="91"/>
      <c r="B1035" s="92"/>
      <c r="C1035" s="161"/>
      <c r="D1035" s="93"/>
      <c r="E1035" s="94"/>
      <c r="F1035" s="95"/>
      <c r="G1035" s="96"/>
    </row>
    <row r="1036" spans="1:7">
      <c r="A1036" s="835" t="s">
        <v>1909</v>
      </c>
      <c r="B1036" s="836"/>
      <c r="C1036" s="836"/>
      <c r="D1036" s="836"/>
      <c r="E1036" s="836"/>
      <c r="F1036" s="836"/>
      <c r="G1036" s="837"/>
    </row>
    <row r="1037" spans="1:7">
      <c r="A1037" s="84" t="s">
        <v>1903</v>
      </c>
      <c r="B1037" s="84" t="s">
        <v>131</v>
      </c>
      <c r="C1037" s="160" t="s">
        <v>1904</v>
      </c>
      <c r="D1037" s="84" t="s">
        <v>167</v>
      </c>
      <c r="E1037" s="85" t="s">
        <v>1905</v>
      </c>
      <c r="F1037" s="86" t="s">
        <v>1906</v>
      </c>
      <c r="G1037" s="86" t="s">
        <v>1907</v>
      </c>
    </row>
    <row r="1038" spans="1:7" ht="24">
      <c r="A1038" s="87" t="s">
        <v>2</v>
      </c>
      <c r="B1038" s="87">
        <v>88248</v>
      </c>
      <c r="C1038" s="278" t="s">
        <v>1947</v>
      </c>
      <c r="D1038" s="89" t="s">
        <v>137</v>
      </c>
      <c r="E1038" s="88">
        <v>0.32</v>
      </c>
      <c r="F1038" s="89">
        <v>21.45</v>
      </c>
      <c r="G1038" s="89">
        <f t="shared" ref="G1038:G1039" si="21">F1038*E1038</f>
        <v>6.8639999999999999</v>
      </c>
    </row>
    <row r="1039" spans="1:7" ht="24">
      <c r="A1039" s="87" t="s">
        <v>2</v>
      </c>
      <c r="B1039" s="87">
        <v>88267</v>
      </c>
      <c r="C1039" s="278" t="s">
        <v>1949</v>
      </c>
      <c r="D1039" s="89" t="s">
        <v>137</v>
      </c>
      <c r="E1039" s="88">
        <v>0.32</v>
      </c>
      <c r="F1039" s="89">
        <v>26.33</v>
      </c>
      <c r="G1039" s="89">
        <f t="shared" si="21"/>
        <v>8.4255999999999993</v>
      </c>
    </row>
    <row r="1040" spans="1:7">
      <c r="A1040" s="87"/>
      <c r="B1040" s="87"/>
      <c r="C1040" s="278"/>
      <c r="D1040" s="89"/>
      <c r="E1040" s="88"/>
      <c r="F1040" s="89"/>
      <c r="G1040" s="89"/>
    </row>
    <row r="1041" spans="1:7">
      <c r="A1041" s="832" t="s">
        <v>1908</v>
      </c>
      <c r="B1041" s="833"/>
      <c r="C1041" s="833"/>
      <c r="D1041" s="833"/>
      <c r="E1041" s="833"/>
      <c r="F1041" s="834"/>
      <c r="G1041" s="90">
        <f>SUM(G1038:G1040)</f>
        <v>15.2896</v>
      </c>
    </row>
    <row r="1042" spans="1:7">
      <c r="A1042" s="91"/>
      <c r="B1042" s="92"/>
      <c r="C1042" s="162"/>
      <c r="D1042" s="92"/>
      <c r="E1042" s="97"/>
      <c r="F1042" s="98"/>
      <c r="G1042" s="96"/>
    </row>
    <row r="1043" spans="1:7">
      <c r="A1043" s="835" t="s">
        <v>1912</v>
      </c>
      <c r="B1043" s="836"/>
      <c r="C1043" s="836"/>
      <c r="D1043" s="836"/>
      <c r="E1043" s="836"/>
      <c r="F1043" s="836"/>
      <c r="G1043" s="837"/>
    </row>
    <row r="1044" spans="1:7">
      <c r="A1044" s="84" t="s">
        <v>1903</v>
      </c>
      <c r="B1044" s="84" t="s">
        <v>131</v>
      </c>
      <c r="C1044" s="160" t="s">
        <v>1904</v>
      </c>
      <c r="D1044" s="84" t="s">
        <v>167</v>
      </c>
      <c r="E1044" s="85" t="s">
        <v>1905</v>
      </c>
      <c r="F1044" s="86" t="s">
        <v>1906</v>
      </c>
      <c r="G1044" s="86" t="s">
        <v>1907</v>
      </c>
    </row>
    <row r="1045" spans="1:7">
      <c r="A1045" s="87"/>
      <c r="B1045" s="87"/>
      <c r="C1045" s="278" t="s">
        <v>34</v>
      </c>
      <c r="D1045" s="89" t="s">
        <v>34</v>
      </c>
      <c r="E1045" s="88"/>
      <c r="F1045" s="89" t="s">
        <v>34</v>
      </c>
      <c r="G1045" s="89" t="s">
        <v>34</v>
      </c>
    </row>
    <row r="1046" spans="1:7">
      <c r="A1046" s="87"/>
      <c r="B1046" s="87"/>
      <c r="C1046" s="278" t="s">
        <v>34</v>
      </c>
      <c r="D1046" s="89" t="s">
        <v>34</v>
      </c>
      <c r="E1046" s="88"/>
      <c r="F1046" s="89" t="s">
        <v>34</v>
      </c>
      <c r="G1046" s="89" t="s">
        <v>34</v>
      </c>
    </row>
    <row r="1047" spans="1:7">
      <c r="A1047" s="832" t="s">
        <v>1908</v>
      </c>
      <c r="B1047" s="833" t="s">
        <v>1908</v>
      </c>
      <c r="C1047" s="833"/>
      <c r="D1047" s="833"/>
      <c r="E1047" s="833"/>
      <c r="F1047" s="834"/>
      <c r="G1047" s="90" t="s">
        <v>34</v>
      </c>
    </row>
    <row r="1048" spans="1:7" ht="13.5" thickBot="1">
      <c r="A1048" s="91"/>
      <c r="B1048" s="92"/>
      <c r="C1048" s="163"/>
      <c r="D1048" s="99"/>
      <c r="E1048" s="100"/>
      <c r="F1048" s="101"/>
      <c r="G1048" s="102"/>
    </row>
    <row r="1049" spans="1:7" ht="13.5" thickBot="1">
      <c r="A1049" s="838" t="s">
        <v>1259</v>
      </c>
      <c r="B1049" s="839"/>
      <c r="C1049" s="839"/>
      <c r="D1049" s="839"/>
      <c r="E1049" s="839"/>
      <c r="F1049" s="840"/>
      <c r="G1049" s="103">
        <f>G1041+G1034</f>
        <v>177.54167874999999</v>
      </c>
    </row>
    <row r="1052" spans="1:7">
      <c r="A1052" s="237" t="s">
        <v>131</v>
      </c>
      <c r="B1052" s="190" t="s">
        <v>27</v>
      </c>
      <c r="C1052" s="841" t="s">
        <v>1281</v>
      </c>
      <c r="D1052" s="841"/>
      <c r="E1052" s="841"/>
      <c r="F1052" s="841"/>
      <c r="G1052" s="81" t="s">
        <v>127</v>
      </c>
    </row>
    <row r="1053" spans="1:7" ht="29.25" customHeight="1">
      <c r="A1053" s="179" t="s">
        <v>1987</v>
      </c>
      <c r="B1053" s="82"/>
      <c r="C1053" s="830" t="str">
        <f>'Planilha Orçamentária'!D89</f>
        <v>Tubo em PVC, cor branco para conexões roscáveis, conforme NBR 5648 - diâmetro = 4" com isolação e suportes</v>
      </c>
      <c r="D1053" s="831"/>
      <c r="E1053" s="831"/>
      <c r="F1053" s="186">
        <f>G1079</f>
        <v>390.43980875000005</v>
      </c>
      <c r="G1053" s="83" t="s">
        <v>180</v>
      </c>
    </row>
    <row r="1054" spans="1:7">
      <c r="A1054" s="818" t="s">
        <v>1902</v>
      </c>
      <c r="B1054" s="819"/>
      <c r="C1054" s="819"/>
      <c r="D1054" s="819"/>
      <c r="E1054" s="819"/>
      <c r="F1054" s="819"/>
      <c r="G1054" s="820"/>
    </row>
    <row r="1055" spans="1:7">
      <c r="A1055" s="84" t="s">
        <v>1903</v>
      </c>
      <c r="B1055" s="84" t="s">
        <v>131</v>
      </c>
      <c r="C1055" s="160" t="s">
        <v>1904</v>
      </c>
      <c r="D1055" s="84" t="s">
        <v>167</v>
      </c>
      <c r="E1055" s="85" t="s">
        <v>1905</v>
      </c>
      <c r="F1055" s="86" t="s">
        <v>1906</v>
      </c>
      <c r="G1055" s="86" t="s">
        <v>1907</v>
      </c>
    </row>
    <row r="1056" spans="1:7" ht="30">
      <c r="A1056" s="28" t="s">
        <v>2</v>
      </c>
      <c r="B1056" s="43">
        <v>96683</v>
      </c>
      <c r="C1056" s="193" t="s">
        <v>1988</v>
      </c>
      <c r="D1056" s="89" t="s">
        <v>1944</v>
      </c>
      <c r="E1056" s="88">
        <v>1</v>
      </c>
      <c r="F1056" s="89">
        <v>276.62</v>
      </c>
      <c r="G1056" s="89">
        <f>F1056*E1056</f>
        <v>276.62</v>
      </c>
    </row>
    <row r="1057" spans="1:7" ht="60">
      <c r="A1057" s="87" t="s">
        <v>3</v>
      </c>
      <c r="B1057" s="87" t="s">
        <v>1966</v>
      </c>
      <c r="C1057" s="278" t="s">
        <v>1967</v>
      </c>
      <c r="D1057" s="89" t="s">
        <v>180</v>
      </c>
      <c r="E1057" s="88">
        <v>0.5</v>
      </c>
      <c r="F1057" s="89">
        <v>15.97</v>
      </c>
      <c r="G1057" s="89">
        <f>IF(D1057="","",E1057*F1057)</f>
        <v>7.9850000000000003</v>
      </c>
    </row>
    <row r="1058" spans="1:7" ht="36" customHeight="1">
      <c r="A1058" s="87" t="s">
        <v>1917</v>
      </c>
      <c r="B1058" s="87" t="str">
        <f>'Mapa Cotações'!A185</f>
        <v>COT-0192</v>
      </c>
      <c r="C1058" s="278" t="str">
        <f>'Mapa Cotações'!B185</f>
        <v>CALHA EM POLIESTIRENO (ISOPOR) EXPANDIDO, AUTO EXTINGUÍVEL, GRAU F1,COM 2" DE ESPESSURA - DIÂMETRO = 4" (TUBO DE EPS-T2-F(densidade de 11 a 13
kg/m³) 1000x203,2x203,2(101,6int/50,8par))</v>
      </c>
      <c r="D1058" s="89" t="s">
        <v>180</v>
      </c>
      <c r="E1058" s="88">
        <v>1.0389999999999999</v>
      </c>
      <c r="F1058" s="89">
        <f>'Mapa Cotações'!M185</f>
        <v>48</v>
      </c>
      <c r="G1058" s="89">
        <f t="shared" ref="G1058:G1063" si="22">F1058*E1058</f>
        <v>49.872</v>
      </c>
    </row>
    <row r="1059" spans="1:7">
      <c r="A1059" s="87" t="s">
        <v>1917</v>
      </c>
      <c r="B1059" s="87" t="s">
        <v>1968</v>
      </c>
      <c r="C1059" s="278" t="s">
        <v>1972</v>
      </c>
      <c r="D1059" s="89" t="s">
        <v>167</v>
      </c>
      <c r="E1059" s="88">
        <v>3.3912999999999999E-2</v>
      </c>
      <c r="F1059" s="89">
        <v>406.02</v>
      </c>
      <c r="G1059" s="89">
        <f t="shared" si="22"/>
        <v>13.769356259999999</v>
      </c>
    </row>
    <row r="1060" spans="1:7">
      <c r="A1060" s="87" t="s">
        <v>1917</v>
      </c>
      <c r="B1060" s="87" t="s">
        <v>1973</v>
      </c>
      <c r="C1060" s="278" t="s">
        <v>1974</v>
      </c>
      <c r="D1060" s="89" t="s">
        <v>167</v>
      </c>
      <c r="E1060" s="88">
        <v>0.42391899999999999</v>
      </c>
      <c r="F1060" s="89">
        <v>31.47</v>
      </c>
      <c r="G1060" s="89">
        <f t="shared" si="22"/>
        <v>13.340730929999999</v>
      </c>
    </row>
    <row r="1061" spans="1:7" ht="24">
      <c r="A1061" s="87" t="s">
        <v>1917</v>
      </c>
      <c r="B1061" s="87" t="s">
        <v>1975</v>
      </c>
      <c r="C1061" s="278" t="s">
        <v>1976</v>
      </c>
      <c r="D1061" s="89" t="s">
        <v>180</v>
      </c>
      <c r="E1061" s="88">
        <v>6.783E-3</v>
      </c>
      <c r="F1061" s="89">
        <v>1499.2</v>
      </c>
      <c r="G1061" s="89">
        <f t="shared" si="22"/>
        <v>10.169073600000001</v>
      </c>
    </row>
    <row r="1062" spans="1:7">
      <c r="A1062" s="87" t="s">
        <v>1917</v>
      </c>
      <c r="B1062" s="87" t="s">
        <v>1977</v>
      </c>
      <c r="C1062" s="278" t="s">
        <v>1978</v>
      </c>
      <c r="D1062" s="89" t="s">
        <v>180</v>
      </c>
      <c r="E1062" s="88">
        <f>E1061*4</f>
        <v>2.7132E-2</v>
      </c>
      <c r="F1062" s="89">
        <v>99.53</v>
      </c>
      <c r="G1062" s="89">
        <f t="shared" si="22"/>
        <v>2.70044796</v>
      </c>
    </row>
    <row r="1063" spans="1:7">
      <c r="A1063" s="87" t="s">
        <v>1917</v>
      </c>
      <c r="B1063" s="87" t="s">
        <v>1979</v>
      </c>
      <c r="C1063" s="278" t="s">
        <v>1969</v>
      </c>
      <c r="D1063" s="89" t="s">
        <v>167</v>
      </c>
      <c r="E1063" s="88">
        <v>1.4999999999999999E-2</v>
      </c>
      <c r="F1063" s="89">
        <v>46.24</v>
      </c>
      <c r="G1063" s="89">
        <f t="shared" si="22"/>
        <v>0.69359999999999999</v>
      </c>
    </row>
    <row r="1064" spans="1:7">
      <c r="A1064" s="832" t="s">
        <v>1908</v>
      </c>
      <c r="B1064" s="833"/>
      <c r="C1064" s="833"/>
      <c r="D1064" s="833"/>
      <c r="E1064" s="833"/>
      <c r="F1064" s="834"/>
      <c r="G1064" s="90">
        <f>SUM(G1056:G1063)</f>
        <v>375.15020875000005</v>
      </c>
    </row>
    <row r="1065" spans="1:7">
      <c r="A1065" s="91"/>
      <c r="B1065" s="92"/>
      <c r="C1065" s="161"/>
      <c r="D1065" s="93"/>
      <c r="E1065" s="94"/>
      <c r="F1065" s="95"/>
      <c r="G1065" s="96"/>
    </row>
    <row r="1066" spans="1:7">
      <c r="A1066" s="835" t="s">
        <v>1909</v>
      </c>
      <c r="B1066" s="836"/>
      <c r="C1066" s="836"/>
      <c r="D1066" s="836"/>
      <c r="E1066" s="836"/>
      <c r="F1066" s="836"/>
      <c r="G1066" s="837"/>
    </row>
    <row r="1067" spans="1:7">
      <c r="A1067" s="84" t="s">
        <v>1903</v>
      </c>
      <c r="B1067" s="84" t="s">
        <v>131</v>
      </c>
      <c r="C1067" s="160" t="s">
        <v>1904</v>
      </c>
      <c r="D1067" s="84" t="s">
        <v>167</v>
      </c>
      <c r="E1067" s="85" t="s">
        <v>1905</v>
      </c>
      <c r="F1067" s="86" t="s">
        <v>1906</v>
      </c>
      <c r="G1067" s="86" t="s">
        <v>1907</v>
      </c>
    </row>
    <row r="1068" spans="1:7" ht="24">
      <c r="A1068" s="87" t="s">
        <v>2</v>
      </c>
      <c r="B1068" s="87">
        <v>88248</v>
      </c>
      <c r="C1068" s="278" t="s">
        <v>1947</v>
      </c>
      <c r="D1068" s="89" t="s">
        <v>137</v>
      </c>
      <c r="E1068" s="88">
        <v>0.32</v>
      </c>
      <c r="F1068" s="89">
        <v>21.45</v>
      </c>
      <c r="G1068" s="89">
        <f t="shared" ref="G1068:G1069" si="23">F1068*E1068</f>
        <v>6.8639999999999999</v>
      </c>
    </row>
    <row r="1069" spans="1:7" ht="24">
      <c r="A1069" s="87" t="s">
        <v>2</v>
      </c>
      <c r="B1069" s="87">
        <v>88267</v>
      </c>
      <c r="C1069" s="278" t="s">
        <v>1949</v>
      </c>
      <c r="D1069" s="89" t="s">
        <v>137</v>
      </c>
      <c r="E1069" s="88">
        <v>0.32</v>
      </c>
      <c r="F1069" s="89">
        <v>26.33</v>
      </c>
      <c r="G1069" s="89">
        <f t="shared" si="23"/>
        <v>8.4255999999999993</v>
      </c>
    </row>
    <row r="1070" spans="1:7">
      <c r="A1070" s="87"/>
      <c r="B1070" s="87"/>
      <c r="C1070" s="278"/>
      <c r="D1070" s="89"/>
      <c r="E1070" s="88"/>
      <c r="F1070" s="89"/>
      <c r="G1070" s="89"/>
    </row>
    <row r="1071" spans="1:7">
      <c r="A1071" s="832" t="s">
        <v>1908</v>
      </c>
      <c r="B1071" s="833"/>
      <c r="C1071" s="833"/>
      <c r="D1071" s="833"/>
      <c r="E1071" s="833"/>
      <c r="F1071" s="834"/>
      <c r="G1071" s="90">
        <f>SUM(G1068:G1070)</f>
        <v>15.2896</v>
      </c>
    </row>
    <row r="1072" spans="1:7">
      <c r="A1072" s="91"/>
      <c r="B1072" s="92"/>
      <c r="C1072" s="162"/>
      <c r="D1072" s="92"/>
      <c r="E1072" s="97"/>
      <c r="F1072" s="98"/>
      <c r="G1072" s="96"/>
    </row>
    <row r="1073" spans="1:7">
      <c r="A1073" s="835" t="s">
        <v>1912</v>
      </c>
      <c r="B1073" s="836"/>
      <c r="C1073" s="836"/>
      <c r="D1073" s="836"/>
      <c r="E1073" s="836"/>
      <c r="F1073" s="836"/>
      <c r="G1073" s="837"/>
    </row>
    <row r="1074" spans="1:7">
      <c r="A1074" s="84" t="s">
        <v>1903</v>
      </c>
      <c r="B1074" s="84" t="s">
        <v>131</v>
      </c>
      <c r="C1074" s="160" t="s">
        <v>1904</v>
      </c>
      <c r="D1074" s="84" t="s">
        <v>167</v>
      </c>
      <c r="E1074" s="85" t="s">
        <v>1905</v>
      </c>
      <c r="F1074" s="86" t="s">
        <v>1906</v>
      </c>
      <c r="G1074" s="86" t="s">
        <v>1907</v>
      </c>
    </row>
    <row r="1075" spans="1:7">
      <c r="A1075" s="87"/>
      <c r="B1075" s="87"/>
      <c r="C1075" s="278" t="s">
        <v>34</v>
      </c>
      <c r="D1075" s="89" t="s">
        <v>34</v>
      </c>
      <c r="E1075" s="88"/>
      <c r="F1075" s="89" t="s">
        <v>34</v>
      </c>
      <c r="G1075" s="89" t="s">
        <v>34</v>
      </c>
    </row>
    <row r="1076" spans="1:7">
      <c r="A1076" s="87"/>
      <c r="B1076" s="87"/>
      <c r="C1076" s="278" t="s">
        <v>34</v>
      </c>
      <c r="D1076" s="89" t="s">
        <v>34</v>
      </c>
      <c r="E1076" s="88"/>
      <c r="F1076" s="89" t="s">
        <v>34</v>
      </c>
      <c r="G1076" s="89" t="s">
        <v>34</v>
      </c>
    </row>
    <row r="1077" spans="1:7">
      <c r="A1077" s="832" t="s">
        <v>1908</v>
      </c>
      <c r="B1077" s="833" t="s">
        <v>1908</v>
      </c>
      <c r="C1077" s="833"/>
      <c r="D1077" s="833"/>
      <c r="E1077" s="833"/>
      <c r="F1077" s="834"/>
      <c r="G1077" s="90" t="s">
        <v>34</v>
      </c>
    </row>
    <row r="1078" spans="1:7" ht="13.5" thickBot="1">
      <c r="A1078" s="91"/>
      <c r="B1078" s="92"/>
      <c r="C1078" s="163"/>
      <c r="D1078" s="99"/>
      <c r="E1078" s="100"/>
      <c r="F1078" s="101"/>
      <c r="G1078" s="102"/>
    </row>
    <row r="1079" spans="1:7" ht="13.5" thickBot="1">
      <c r="A1079" s="838" t="s">
        <v>1259</v>
      </c>
      <c r="B1079" s="839"/>
      <c r="C1079" s="839"/>
      <c r="D1079" s="839"/>
      <c r="E1079" s="839"/>
      <c r="F1079" s="840"/>
      <c r="G1079" s="103">
        <f>G1071+G1064</f>
        <v>390.43980875000005</v>
      </c>
    </row>
    <row r="1082" spans="1:7">
      <c r="A1082" s="237" t="s">
        <v>131</v>
      </c>
      <c r="B1082" s="190" t="s">
        <v>27</v>
      </c>
      <c r="C1082" s="841" t="s">
        <v>1281</v>
      </c>
      <c r="D1082" s="841"/>
      <c r="E1082" s="841"/>
      <c r="F1082" s="841"/>
      <c r="G1082" s="81" t="s">
        <v>127</v>
      </c>
    </row>
    <row r="1083" spans="1:7">
      <c r="A1083" s="179" t="s">
        <v>1989</v>
      </c>
      <c r="B1083" s="82"/>
      <c r="C1083" s="830" t="str">
        <f>'Planilha Orçamentária'!D90</f>
        <v>Tubo em PVC, cor branco para conexões roscáveis, conforme NBR 5648 - diâmetro = 3" com isolação e suportes</v>
      </c>
      <c r="D1083" s="831"/>
      <c r="E1083" s="831"/>
      <c r="F1083" s="186">
        <f>G1109</f>
        <v>302.19230875000005</v>
      </c>
      <c r="G1083" s="83" t="s">
        <v>180</v>
      </c>
    </row>
    <row r="1084" spans="1:7">
      <c r="A1084" s="818" t="s">
        <v>1902</v>
      </c>
      <c r="B1084" s="819"/>
      <c r="C1084" s="819"/>
      <c r="D1084" s="819"/>
      <c r="E1084" s="819"/>
      <c r="F1084" s="819"/>
      <c r="G1084" s="820"/>
    </row>
    <row r="1085" spans="1:7">
      <c r="A1085" s="84" t="s">
        <v>1903</v>
      </c>
      <c r="B1085" s="84" t="s">
        <v>131</v>
      </c>
      <c r="C1085" s="160" t="s">
        <v>1904</v>
      </c>
      <c r="D1085" s="84" t="s">
        <v>167</v>
      </c>
      <c r="E1085" s="85" t="s">
        <v>1905</v>
      </c>
      <c r="F1085" s="86" t="s">
        <v>1906</v>
      </c>
      <c r="G1085" s="86" t="s">
        <v>1907</v>
      </c>
    </row>
    <row r="1086" spans="1:7" ht="30">
      <c r="A1086" s="28" t="s">
        <v>2</v>
      </c>
      <c r="B1086" s="43">
        <v>96682</v>
      </c>
      <c r="C1086" s="193" t="s">
        <v>1990</v>
      </c>
      <c r="D1086" s="89" t="s">
        <v>1944</v>
      </c>
      <c r="E1086" s="88">
        <v>1</v>
      </c>
      <c r="F1086" s="191">
        <v>201.36</v>
      </c>
      <c r="G1086" s="89">
        <f>F1086*E1086</f>
        <v>201.36</v>
      </c>
    </row>
    <row r="1087" spans="1:7" ht="60">
      <c r="A1087" s="87" t="s">
        <v>3</v>
      </c>
      <c r="B1087" s="87" t="s">
        <v>1966</v>
      </c>
      <c r="C1087" s="278" t="s">
        <v>1967</v>
      </c>
      <c r="D1087" s="89" t="s">
        <v>180</v>
      </c>
      <c r="E1087" s="88">
        <v>0.5</v>
      </c>
      <c r="F1087" s="89">
        <v>15.97</v>
      </c>
      <c r="G1087" s="89">
        <f>IF(D1087="","",E1087*F1087)</f>
        <v>7.9850000000000003</v>
      </c>
    </row>
    <row r="1088" spans="1:7" ht="40.5" customHeight="1">
      <c r="A1088" s="87" t="s">
        <v>1917</v>
      </c>
      <c r="B1088" s="87" t="str">
        <f>'Mapa Cotações'!A186</f>
        <v>COT-0193</v>
      </c>
      <c r="C1088" s="278" t="str">
        <f>'Mapa Cotações'!B186</f>
        <v>CALHA EM POLIESTIRENO (ISOPOR) EXPANDIDO, AUTO EXTINGUÍVEL, GRAU F1,COM 2" DE ESPESSURA - DIÂMETRO = 3" (TUBO DE EPS-T2-F(densidade de 11 a 13
kg/m³) 1000x177,8x177,8(76,2int/50,8par)</v>
      </c>
      <c r="D1088" s="89" t="s">
        <v>180</v>
      </c>
      <c r="E1088" s="88">
        <v>1.0389999999999999</v>
      </c>
      <c r="F1088" s="89">
        <f>'Mapa Cotações'!M186</f>
        <v>35.5</v>
      </c>
      <c r="G1088" s="89">
        <f t="shared" ref="G1088:G1093" si="24">F1088*E1088</f>
        <v>36.884499999999996</v>
      </c>
    </row>
    <row r="1089" spans="1:7">
      <c r="A1089" s="87" t="s">
        <v>1917</v>
      </c>
      <c r="B1089" s="87" t="s">
        <v>1968</v>
      </c>
      <c r="C1089" s="278" t="s">
        <v>1972</v>
      </c>
      <c r="D1089" s="89" t="s">
        <v>167</v>
      </c>
      <c r="E1089" s="88">
        <v>3.3912999999999999E-2</v>
      </c>
      <c r="F1089" s="89">
        <v>406.02</v>
      </c>
      <c r="G1089" s="89">
        <f t="shared" si="24"/>
        <v>13.769356259999999</v>
      </c>
    </row>
    <row r="1090" spans="1:7">
      <c r="A1090" s="87" t="s">
        <v>1917</v>
      </c>
      <c r="B1090" s="87" t="s">
        <v>1973</v>
      </c>
      <c r="C1090" s="278" t="s">
        <v>1974</v>
      </c>
      <c r="D1090" s="89" t="s">
        <v>167</v>
      </c>
      <c r="E1090" s="88">
        <v>0.42391899999999999</v>
      </c>
      <c r="F1090" s="89">
        <v>31.47</v>
      </c>
      <c r="G1090" s="89">
        <f t="shared" si="24"/>
        <v>13.340730929999999</v>
      </c>
    </row>
    <row r="1091" spans="1:7" ht="24">
      <c r="A1091" s="87" t="s">
        <v>1917</v>
      </c>
      <c r="B1091" s="87" t="s">
        <v>1975</v>
      </c>
      <c r="C1091" s="278" t="s">
        <v>1976</v>
      </c>
      <c r="D1091" s="89" t="s">
        <v>180</v>
      </c>
      <c r="E1091" s="88">
        <v>6.783E-3</v>
      </c>
      <c r="F1091" s="89">
        <v>1499.2</v>
      </c>
      <c r="G1091" s="89">
        <f t="shared" si="24"/>
        <v>10.169073600000001</v>
      </c>
    </row>
    <row r="1092" spans="1:7">
      <c r="A1092" s="87" t="s">
        <v>1917</v>
      </c>
      <c r="B1092" s="87" t="s">
        <v>1977</v>
      </c>
      <c r="C1092" s="278" t="s">
        <v>1978</v>
      </c>
      <c r="D1092" s="89" t="s">
        <v>180</v>
      </c>
      <c r="E1092" s="88">
        <f>E1091*4</f>
        <v>2.7132E-2</v>
      </c>
      <c r="F1092" s="89">
        <v>99.53</v>
      </c>
      <c r="G1092" s="89">
        <f t="shared" si="24"/>
        <v>2.70044796</v>
      </c>
    </row>
    <row r="1093" spans="1:7">
      <c r="A1093" s="87" t="s">
        <v>1917</v>
      </c>
      <c r="B1093" s="87" t="s">
        <v>1979</v>
      </c>
      <c r="C1093" s="278" t="s">
        <v>1969</v>
      </c>
      <c r="D1093" s="89" t="s">
        <v>167</v>
      </c>
      <c r="E1093" s="88">
        <v>1.4999999999999999E-2</v>
      </c>
      <c r="F1093" s="89">
        <v>46.24</v>
      </c>
      <c r="G1093" s="89">
        <f t="shared" si="24"/>
        <v>0.69359999999999999</v>
      </c>
    </row>
    <row r="1094" spans="1:7">
      <c r="A1094" s="832" t="s">
        <v>1908</v>
      </c>
      <c r="B1094" s="833"/>
      <c r="C1094" s="833"/>
      <c r="D1094" s="833"/>
      <c r="E1094" s="833"/>
      <c r="F1094" s="834"/>
      <c r="G1094" s="90">
        <f>SUM(G1086:G1093)</f>
        <v>286.90270875000004</v>
      </c>
    </row>
    <row r="1095" spans="1:7">
      <c r="A1095" s="91"/>
      <c r="B1095" s="92"/>
      <c r="C1095" s="161"/>
      <c r="D1095" s="93"/>
      <c r="E1095" s="94"/>
      <c r="F1095" s="95"/>
      <c r="G1095" s="96"/>
    </row>
    <row r="1096" spans="1:7">
      <c r="A1096" s="835" t="s">
        <v>1909</v>
      </c>
      <c r="B1096" s="836"/>
      <c r="C1096" s="836"/>
      <c r="D1096" s="836"/>
      <c r="E1096" s="836"/>
      <c r="F1096" s="836"/>
      <c r="G1096" s="837"/>
    </row>
    <row r="1097" spans="1:7">
      <c r="A1097" s="84" t="s">
        <v>1903</v>
      </c>
      <c r="B1097" s="84" t="s">
        <v>131</v>
      </c>
      <c r="C1097" s="160" t="s">
        <v>1904</v>
      </c>
      <c r="D1097" s="84" t="s">
        <v>167</v>
      </c>
      <c r="E1097" s="85" t="s">
        <v>1905</v>
      </c>
      <c r="F1097" s="86" t="s">
        <v>1906</v>
      </c>
      <c r="G1097" s="86" t="s">
        <v>1907</v>
      </c>
    </row>
    <row r="1098" spans="1:7" ht="24">
      <c r="A1098" s="87" t="s">
        <v>2</v>
      </c>
      <c r="B1098" s="87">
        <v>88248</v>
      </c>
      <c r="C1098" s="278" t="s">
        <v>1947</v>
      </c>
      <c r="D1098" s="89" t="s">
        <v>137</v>
      </c>
      <c r="E1098" s="88">
        <v>0.32</v>
      </c>
      <c r="F1098" s="89">
        <v>21.45</v>
      </c>
      <c r="G1098" s="89">
        <f t="shared" ref="G1098:G1099" si="25">F1098*E1098</f>
        <v>6.8639999999999999</v>
      </c>
    </row>
    <row r="1099" spans="1:7" ht="24">
      <c r="A1099" s="87" t="s">
        <v>2</v>
      </c>
      <c r="B1099" s="87">
        <v>88267</v>
      </c>
      <c r="C1099" s="278" t="s">
        <v>1949</v>
      </c>
      <c r="D1099" s="89" t="s">
        <v>137</v>
      </c>
      <c r="E1099" s="88">
        <v>0.32</v>
      </c>
      <c r="F1099" s="89">
        <v>26.33</v>
      </c>
      <c r="G1099" s="89">
        <f t="shared" si="25"/>
        <v>8.4255999999999993</v>
      </c>
    </row>
    <row r="1100" spans="1:7">
      <c r="A1100" s="87"/>
      <c r="B1100" s="87"/>
      <c r="C1100" s="278"/>
      <c r="D1100" s="89"/>
      <c r="E1100" s="88"/>
      <c r="F1100" s="89"/>
      <c r="G1100" s="89"/>
    </row>
    <row r="1101" spans="1:7">
      <c r="A1101" s="832" t="s">
        <v>1908</v>
      </c>
      <c r="B1101" s="833"/>
      <c r="C1101" s="833"/>
      <c r="D1101" s="833"/>
      <c r="E1101" s="833"/>
      <c r="F1101" s="834"/>
      <c r="G1101" s="90">
        <f>SUM(G1098:G1100)</f>
        <v>15.2896</v>
      </c>
    </row>
    <row r="1102" spans="1:7">
      <c r="A1102" s="91"/>
      <c r="B1102" s="92"/>
      <c r="C1102" s="162"/>
      <c r="D1102" s="92"/>
      <c r="E1102" s="97"/>
      <c r="F1102" s="98"/>
      <c r="G1102" s="96"/>
    </row>
    <row r="1103" spans="1:7">
      <c r="A1103" s="835" t="s">
        <v>1912</v>
      </c>
      <c r="B1103" s="836"/>
      <c r="C1103" s="836"/>
      <c r="D1103" s="836"/>
      <c r="E1103" s="836"/>
      <c r="F1103" s="836"/>
      <c r="G1103" s="837"/>
    </row>
    <row r="1104" spans="1:7">
      <c r="A1104" s="84" t="s">
        <v>1903</v>
      </c>
      <c r="B1104" s="84" t="s">
        <v>131</v>
      </c>
      <c r="C1104" s="160" t="s">
        <v>1904</v>
      </c>
      <c r="D1104" s="84" t="s">
        <v>167</v>
      </c>
      <c r="E1104" s="85" t="s">
        <v>1905</v>
      </c>
      <c r="F1104" s="86" t="s">
        <v>1906</v>
      </c>
      <c r="G1104" s="86" t="s">
        <v>1907</v>
      </c>
    </row>
    <row r="1105" spans="1:7">
      <c r="A1105" s="87"/>
      <c r="B1105" s="87"/>
      <c r="C1105" s="278" t="s">
        <v>34</v>
      </c>
      <c r="D1105" s="89" t="s">
        <v>34</v>
      </c>
      <c r="E1105" s="88"/>
      <c r="F1105" s="89" t="s">
        <v>34</v>
      </c>
      <c r="G1105" s="89" t="s">
        <v>34</v>
      </c>
    </row>
    <row r="1106" spans="1:7">
      <c r="A1106" s="87"/>
      <c r="B1106" s="87"/>
      <c r="C1106" s="278" t="s">
        <v>34</v>
      </c>
      <c r="D1106" s="89" t="s">
        <v>34</v>
      </c>
      <c r="E1106" s="88"/>
      <c r="F1106" s="89" t="s">
        <v>34</v>
      </c>
      <c r="G1106" s="89" t="s">
        <v>34</v>
      </c>
    </row>
    <row r="1107" spans="1:7">
      <c r="A1107" s="832" t="s">
        <v>1908</v>
      </c>
      <c r="B1107" s="833" t="s">
        <v>1908</v>
      </c>
      <c r="C1107" s="833"/>
      <c r="D1107" s="833"/>
      <c r="E1107" s="833"/>
      <c r="F1107" s="834"/>
      <c r="G1107" s="90" t="s">
        <v>34</v>
      </c>
    </row>
    <row r="1108" spans="1:7" ht="13.5" thickBot="1">
      <c r="A1108" s="91"/>
      <c r="B1108" s="92"/>
      <c r="C1108" s="163"/>
      <c r="D1108" s="99"/>
      <c r="E1108" s="100"/>
      <c r="F1108" s="101"/>
      <c r="G1108" s="102"/>
    </row>
    <row r="1109" spans="1:7" ht="13.5" thickBot="1">
      <c r="A1109" s="838" t="s">
        <v>1259</v>
      </c>
      <c r="B1109" s="839"/>
      <c r="C1109" s="839"/>
      <c r="D1109" s="839"/>
      <c r="E1109" s="839"/>
      <c r="F1109" s="840"/>
      <c r="G1109" s="103">
        <f>G1101+G1094</f>
        <v>302.19230875000005</v>
      </c>
    </row>
    <row r="1112" spans="1:7">
      <c r="A1112" s="237" t="s">
        <v>131</v>
      </c>
      <c r="B1112" s="190" t="s">
        <v>27</v>
      </c>
      <c r="C1112" s="841" t="s">
        <v>1281</v>
      </c>
      <c r="D1112" s="841"/>
      <c r="E1112" s="841"/>
      <c r="F1112" s="841"/>
      <c r="G1112" s="81" t="s">
        <v>127</v>
      </c>
    </row>
    <row r="1113" spans="1:7">
      <c r="A1113" s="179" t="s">
        <v>1991</v>
      </c>
      <c r="B1113" s="82"/>
      <c r="C1113" s="830" t="str">
        <f>'Planilha Orçamentária'!D91</f>
        <v>Tubo em PVC, cor branco para conexões roscáveis, conforme NBR 5648 - diâmetro = 21/2" com isolação e suportes</v>
      </c>
      <c r="D1113" s="831"/>
      <c r="E1113" s="831"/>
      <c r="F1113" s="186">
        <f>G1139</f>
        <v>201.59645874999998</v>
      </c>
      <c r="G1113" s="83" t="s">
        <v>180</v>
      </c>
    </row>
    <row r="1114" spans="1:7">
      <c r="A1114" s="818" t="s">
        <v>1902</v>
      </c>
      <c r="B1114" s="819"/>
      <c r="C1114" s="819"/>
      <c r="D1114" s="819"/>
      <c r="E1114" s="819"/>
      <c r="F1114" s="819"/>
      <c r="G1114" s="820"/>
    </row>
    <row r="1115" spans="1:7">
      <c r="A1115" s="84" t="s">
        <v>1903</v>
      </c>
      <c r="B1115" s="84" t="s">
        <v>131</v>
      </c>
      <c r="C1115" s="160" t="s">
        <v>1904</v>
      </c>
      <c r="D1115" s="84" t="s">
        <v>167</v>
      </c>
      <c r="E1115" s="85" t="s">
        <v>1905</v>
      </c>
      <c r="F1115" s="86" t="s">
        <v>1906</v>
      </c>
      <c r="G1115" s="86" t="s">
        <v>1907</v>
      </c>
    </row>
    <row r="1116" spans="1:7" ht="30">
      <c r="A1116" s="28" t="s">
        <v>2</v>
      </c>
      <c r="B1116" s="43">
        <v>96681</v>
      </c>
      <c r="C1116" s="193" t="s">
        <v>1992</v>
      </c>
      <c r="D1116" s="89" t="s">
        <v>1944</v>
      </c>
      <c r="E1116" s="88">
        <v>1</v>
      </c>
      <c r="F1116" s="191">
        <v>121.7</v>
      </c>
      <c r="G1116" s="89">
        <f>F1116*E1116</f>
        <v>121.7</v>
      </c>
    </row>
    <row r="1117" spans="1:7" ht="60">
      <c r="A1117" s="87" t="s">
        <v>3</v>
      </c>
      <c r="B1117" s="87" t="s">
        <v>1966</v>
      </c>
      <c r="C1117" s="278" t="s">
        <v>1967</v>
      </c>
      <c r="D1117" s="89" t="s">
        <v>180</v>
      </c>
      <c r="E1117" s="88">
        <v>0.5</v>
      </c>
      <c r="F1117" s="89">
        <v>15.97</v>
      </c>
      <c r="G1117" s="89">
        <f>IF(D1117="","",E1117*F1117)</f>
        <v>7.9850000000000003</v>
      </c>
    </row>
    <row r="1118" spans="1:7" ht="38.25" customHeight="1">
      <c r="A1118" s="87" t="s">
        <v>1917</v>
      </c>
      <c r="B1118" s="87" t="str">
        <f>'Mapa Cotações'!A190</f>
        <v>COT-0197</v>
      </c>
      <c r="C1118" s="278" t="str">
        <f>'Mapa Cotações'!B190</f>
        <v>CALHA EM POLIESTIRENO (ISOPOR) EXPANDIDO, AUTO EXTINGUÍVEL, GRAU F1,COM 11/2" DE ESPESSURA - DIÂMETRO = 21/2" (TUBO DE EPS-T2-F(densidade de 11 a 13
kg/m³) 1000x107,95x107,95(31,75int/38,1par))</v>
      </c>
      <c r="D1118" s="89" t="s">
        <v>180</v>
      </c>
      <c r="E1118" s="88">
        <v>1.0389999999999999</v>
      </c>
      <c r="F1118" s="89">
        <f>'Mapa Cotações'!M190</f>
        <v>15.35</v>
      </c>
      <c r="G1118" s="89">
        <f t="shared" ref="G1118:G1123" si="26">F1118*E1118</f>
        <v>15.948649999999999</v>
      </c>
    </row>
    <row r="1119" spans="1:7">
      <c r="A1119" s="87" t="s">
        <v>1917</v>
      </c>
      <c r="B1119" s="87" t="s">
        <v>1968</v>
      </c>
      <c r="C1119" s="278" t="s">
        <v>1972</v>
      </c>
      <c r="D1119" s="89" t="s">
        <v>167</v>
      </c>
      <c r="E1119" s="88">
        <v>3.3912999999999999E-2</v>
      </c>
      <c r="F1119" s="89">
        <v>406.02</v>
      </c>
      <c r="G1119" s="89">
        <f t="shared" si="26"/>
        <v>13.769356259999999</v>
      </c>
    </row>
    <row r="1120" spans="1:7">
      <c r="A1120" s="87" t="s">
        <v>1917</v>
      </c>
      <c r="B1120" s="87" t="s">
        <v>1973</v>
      </c>
      <c r="C1120" s="278" t="s">
        <v>1974</v>
      </c>
      <c r="D1120" s="89" t="s">
        <v>167</v>
      </c>
      <c r="E1120" s="88">
        <v>0.42391899999999999</v>
      </c>
      <c r="F1120" s="89">
        <v>31.47</v>
      </c>
      <c r="G1120" s="89">
        <f t="shared" si="26"/>
        <v>13.340730929999999</v>
      </c>
    </row>
    <row r="1121" spans="1:7" ht="24">
      <c r="A1121" s="87" t="s">
        <v>1917</v>
      </c>
      <c r="B1121" s="87" t="s">
        <v>1975</v>
      </c>
      <c r="C1121" s="278" t="s">
        <v>1976</v>
      </c>
      <c r="D1121" s="89" t="s">
        <v>180</v>
      </c>
      <c r="E1121" s="88">
        <v>6.783E-3</v>
      </c>
      <c r="F1121" s="89">
        <v>1499.2</v>
      </c>
      <c r="G1121" s="89">
        <f t="shared" si="26"/>
        <v>10.169073600000001</v>
      </c>
    </row>
    <row r="1122" spans="1:7">
      <c r="A1122" s="87" t="s">
        <v>1917</v>
      </c>
      <c r="B1122" s="87" t="s">
        <v>1977</v>
      </c>
      <c r="C1122" s="278" t="s">
        <v>1978</v>
      </c>
      <c r="D1122" s="89" t="s">
        <v>180</v>
      </c>
      <c r="E1122" s="88">
        <f>E1121*4</f>
        <v>2.7132E-2</v>
      </c>
      <c r="F1122" s="89">
        <v>99.53</v>
      </c>
      <c r="G1122" s="89">
        <f t="shared" si="26"/>
        <v>2.70044796</v>
      </c>
    </row>
    <row r="1123" spans="1:7">
      <c r="A1123" s="87" t="s">
        <v>1917</v>
      </c>
      <c r="B1123" s="87" t="s">
        <v>1979</v>
      </c>
      <c r="C1123" s="278" t="s">
        <v>1969</v>
      </c>
      <c r="D1123" s="89" t="s">
        <v>167</v>
      </c>
      <c r="E1123" s="88">
        <v>1.4999999999999999E-2</v>
      </c>
      <c r="F1123" s="89">
        <v>46.24</v>
      </c>
      <c r="G1123" s="89">
        <f t="shared" si="26"/>
        <v>0.69359999999999999</v>
      </c>
    </row>
    <row r="1124" spans="1:7">
      <c r="A1124" s="832" t="s">
        <v>1908</v>
      </c>
      <c r="B1124" s="833"/>
      <c r="C1124" s="833"/>
      <c r="D1124" s="833"/>
      <c r="E1124" s="833"/>
      <c r="F1124" s="834"/>
      <c r="G1124" s="90">
        <f>SUM(G1116:G1123)</f>
        <v>186.30685874999998</v>
      </c>
    </row>
    <row r="1125" spans="1:7">
      <c r="A1125" s="91"/>
      <c r="B1125" s="92"/>
      <c r="C1125" s="161"/>
      <c r="D1125" s="93"/>
      <c r="E1125" s="94"/>
      <c r="F1125" s="95"/>
      <c r="G1125" s="96"/>
    </row>
    <row r="1126" spans="1:7">
      <c r="A1126" s="835" t="s">
        <v>1909</v>
      </c>
      <c r="B1126" s="836"/>
      <c r="C1126" s="836"/>
      <c r="D1126" s="836"/>
      <c r="E1126" s="836"/>
      <c r="F1126" s="836"/>
      <c r="G1126" s="837"/>
    </row>
    <row r="1127" spans="1:7">
      <c r="A1127" s="84" t="s">
        <v>1903</v>
      </c>
      <c r="B1127" s="84" t="s">
        <v>131</v>
      </c>
      <c r="C1127" s="160" t="s">
        <v>1904</v>
      </c>
      <c r="D1127" s="84" t="s">
        <v>167</v>
      </c>
      <c r="E1127" s="85" t="s">
        <v>1905</v>
      </c>
      <c r="F1127" s="86" t="s">
        <v>1906</v>
      </c>
      <c r="G1127" s="86" t="s">
        <v>1907</v>
      </c>
    </row>
    <row r="1128" spans="1:7" ht="24">
      <c r="A1128" s="87" t="s">
        <v>2</v>
      </c>
      <c r="B1128" s="87">
        <v>88248</v>
      </c>
      <c r="C1128" s="278" t="s">
        <v>1947</v>
      </c>
      <c r="D1128" s="89" t="s">
        <v>137</v>
      </c>
      <c r="E1128" s="88">
        <v>0.32</v>
      </c>
      <c r="F1128" s="89">
        <v>21.45</v>
      </c>
      <c r="G1128" s="89">
        <f t="shared" ref="G1128:G1129" si="27">F1128*E1128</f>
        <v>6.8639999999999999</v>
      </c>
    </row>
    <row r="1129" spans="1:7" ht="24">
      <c r="A1129" s="87" t="s">
        <v>2</v>
      </c>
      <c r="B1129" s="87">
        <v>88267</v>
      </c>
      <c r="C1129" s="278" t="s">
        <v>1949</v>
      </c>
      <c r="D1129" s="89" t="s">
        <v>137</v>
      </c>
      <c r="E1129" s="88">
        <v>0.32</v>
      </c>
      <c r="F1129" s="89">
        <v>26.33</v>
      </c>
      <c r="G1129" s="89">
        <f t="shared" si="27"/>
        <v>8.4255999999999993</v>
      </c>
    </row>
    <row r="1130" spans="1:7">
      <c r="A1130" s="87"/>
      <c r="B1130" s="87"/>
      <c r="C1130" s="278"/>
      <c r="D1130" s="89"/>
      <c r="E1130" s="88"/>
      <c r="F1130" s="89"/>
      <c r="G1130" s="89"/>
    </row>
    <row r="1131" spans="1:7">
      <c r="A1131" s="832" t="s">
        <v>1908</v>
      </c>
      <c r="B1131" s="833"/>
      <c r="C1131" s="833"/>
      <c r="D1131" s="833"/>
      <c r="E1131" s="833"/>
      <c r="F1131" s="834"/>
      <c r="G1131" s="90">
        <f>SUM(G1128:G1130)</f>
        <v>15.2896</v>
      </c>
    </row>
    <row r="1132" spans="1:7">
      <c r="A1132" s="91"/>
      <c r="B1132" s="92"/>
      <c r="C1132" s="162"/>
      <c r="D1132" s="92"/>
      <c r="E1132" s="97"/>
      <c r="F1132" s="98"/>
      <c r="G1132" s="96"/>
    </row>
    <row r="1133" spans="1:7">
      <c r="A1133" s="835" t="s">
        <v>1912</v>
      </c>
      <c r="B1133" s="836"/>
      <c r="C1133" s="836"/>
      <c r="D1133" s="836"/>
      <c r="E1133" s="836"/>
      <c r="F1133" s="836"/>
      <c r="G1133" s="837"/>
    </row>
    <row r="1134" spans="1:7">
      <c r="A1134" s="84" t="s">
        <v>1903</v>
      </c>
      <c r="B1134" s="84" t="s">
        <v>131</v>
      </c>
      <c r="C1134" s="160" t="s">
        <v>1904</v>
      </c>
      <c r="D1134" s="84" t="s">
        <v>167</v>
      </c>
      <c r="E1134" s="85" t="s">
        <v>1905</v>
      </c>
      <c r="F1134" s="86" t="s">
        <v>1906</v>
      </c>
      <c r="G1134" s="86" t="s">
        <v>1907</v>
      </c>
    </row>
    <row r="1135" spans="1:7">
      <c r="A1135" s="87"/>
      <c r="B1135" s="87"/>
      <c r="C1135" s="278" t="s">
        <v>34</v>
      </c>
      <c r="D1135" s="89" t="s">
        <v>34</v>
      </c>
      <c r="E1135" s="88"/>
      <c r="F1135" s="89" t="s">
        <v>34</v>
      </c>
      <c r="G1135" s="89" t="s">
        <v>34</v>
      </c>
    </row>
    <row r="1136" spans="1:7">
      <c r="A1136" s="87"/>
      <c r="B1136" s="87"/>
      <c r="C1136" s="278" t="s">
        <v>34</v>
      </c>
      <c r="D1136" s="89" t="s">
        <v>34</v>
      </c>
      <c r="E1136" s="88"/>
      <c r="F1136" s="89" t="s">
        <v>34</v>
      </c>
      <c r="G1136" s="89" t="s">
        <v>34</v>
      </c>
    </row>
    <row r="1137" spans="1:7">
      <c r="A1137" s="832" t="s">
        <v>1908</v>
      </c>
      <c r="B1137" s="833" t="s">
        <v>1908</v>
      </c>
      <c r="C1137" s="833"/>
      <c r="D1137" s="833"/>
      <c r="E1137" s="833"/>
      <c r="F1137" s="834"/>
      <c r="G1137" s="90" t="s">
        <v>34</v>
      </c>
    </row>
    <row r="1138" spans="1:7" ht="13.5" thickBot="1">
      <c r="A1138" s="91"/>
      <c r="B1138" s="92"/>
      <c r="C1138" s="163"/>
      <c r="D1138" s="99"/>
      <c r="E1138" s="100"/>
      <c r="F1138" s="101"/>
      <c r="G1138" s="102"/>
    </row>
    <row r="1139" spans="1:7" ht="13.5" thickBot="1">
      <c r="A1139" s="838" t="s">
        <v>1259</v>
      </c>
      <c r="B1139" s="839"/>
      <c r="C1139" s="839"/>
      <c r="D1139" s="839"/>
      <c r="E1139" s="839"/>
      <c r="F1139" s="840"/>
      <c r="G1139" s="103">
        <f>G1131+G1124</f>
        <v>201.59645874999998</v>
      </c>
    </row>
    <row r="1142" spans="1:7">
      <c r="A1142" s="237" t="s">
        <v>131</v>
      </c>
      <c r="B1142" s="190" t="s">
        <v>27</v>
      </c>
      <c r="C1142" s="841" t="s">
        <v>1281</v>
      </c>
      <c r="D1142" s="841"/>
      <c r="E1142" s="841"/>
      <c r="F1142" s="841"/>
      <c r="G1142" s="81" t="s">
        <v>127</v>
      </c>
    </row>
    <row r="1143" spans="1:7">
      <c r="A1143" s="179" t="s">
        <v>1993</v>
      </c>
      <c r="B1143" s="82"/>
      <c r="C1143" s="830" t="str">
        <f>'Planilha Orçamentária'!D92</f>
        <v>Tubo em PVC, cor branco para conexões roscáveis, conforme NBR 5648 - diâmetro = 2" com isolação e suportes</v>
      </c>
      <c r="D1143" s="831"/>
      <c r="E1143" s="831"/>
      <c r="F1143" s="186">
        <f>G1169</f>
        <v>190.71686972000001</v>
      </c>
      <c r="G1143" s="83" t="s">
        <v>180</v>
      </c>
    </row>
    <row r="1144" spans="1:7">
      <c r="A1144" s="818" t="s">
        <v>1902</v>
      </c>
      <c r="B1144" s="819"/>
      <c r="C1144" s="819"/>
      <c r="D1144" s="819"/>
      <c r="E1144" s="819"/>
      <c r="F1144" s="819"/>
      <c r="G1144" s="820"/>
    </row>
    <row r="1145" spans="1:7">
      <c r="A1145" s="84" t="s">
        <v>1903</v>
      </c>
      <c r="B1145" s="84" t="s">
        <v>131</v>
      </c>
      <c r="C1145" s="160" t="s">
        <v>1904</v>
      </c>
      <c r="D1145" s="84" t="s">
        <v>167</v>
      </c>
      <c r="E1145" s="85" t="s">
        <v>1905</v>
      </c>
      <c r="F1145" s="86" t="s">
        <v>1906</v>
      </c>
      <c r="G1145" s="86" t="s">
        <v>1907</v>
      </c>
    </row>
    <row r="1146" spans="1:7" ht="30">
      <c r="A1146" s="28" t="s">
        <v>2</v>
      </c>
      <c r="B1146" s="43">
        <v>96680</v>
      </c>
      <c r="C1146" s="193" t="s">
        <v>1994</v>
      </c>
      <c r="D1146" s="89" t="s">
        <v>1944</v>
      </c>
      <c r="E1146" s="88">
        <v>1</v>
      </c>
      <c r="F1146" s="191">
        <v>90.31</v>
      </c>
      <c r="G1146" s="89">
        <f>F1146*E1146</f>
        <v>90.31</v>
      </c>
    </row>
    <row r="1147" spans="1:7" ht="60">
      <c r="A1147" s="87" t="s">
        <v>3</v>
      </c>
      <c r="B1147" s="87" t="s">
        <v>1966</v>
      </c>
      <c r="C1147" s="278" t="s">
        <v>1967</v>
      </c>
      <c r="D1147" s="89" t="s">
        <v>180</v>
      </c>
      <c r="E1147" s="88">
        <v>0.5</v>
      </c>
      <c r="F1147" s="89">
        <v>15.97</v>
      </c>
      <c r="G1147" s="89">
        <f>IF(D1147="","",E1147*F1147)</f>
        <v>7.9850000000000003</v>
      </c>
    </row>
    <row r="1148" spans="1:7" ht="42" customHeight="1">
      <c r="A1148" s="87" t="s">
        <v>1917</v>
      </c>
      <c r="B1148" s="87" t="str">
        <f>'Mapa Cotações'!A187</f>
        <v>COT-0194</v>
      </c>
      <c r="C1148" s="278" t="str">
        <f>'Mapa Cotações'!B187</f>
        <v>CALHA EM POLIESTIRENO (ISOPOR) EXPANDIDO, AUTO EXTINGUÍVEL, GRAU F1,COM 11/2" DE ESPESSURA - DIÂMETRO = 2" (TUBO DE EPS-T2-F(densidade de 11 a 13
kg/m³) 1000x139,7x139,7(63,5int/38,1par))</v>
      </c>
      <c r="D1148" s="89" t="s">
        <v>180</v>
      </c>
      <c r="E1148" s="88">
        <v>1.0389999999999999</v>
      </c>
      <c r="F1148" s="89">
        <f>'Mapa Cotações'!M187</f>
        <v>28.3</v>
      </c>
      <c r="G1148" s="89">
        <f t="shared" ref="G1148:G1153" si="28">F1148*E1148</f>
        <v>29.403699999999997</v>
      </c>
    </row>
    <row r="1149" spans="1:7">
      <c r="A1149" s="87" t="s">
        <v>1917</v>
      </c>
      <c r="B1149" s="87" t="s">
        <v>1968</v>
      </c>
      <c r="C1149" s="278" t="s">
        <v>1972</v>
      </c>
      <c r="D1149" s="89" t="s">
        <v>167</v>
      </c>
      <c r="E1149" s="88">
        <v>3.9898000000000003E-2</v>
      </c>
      <c r="F1149" s="89">
        <v>406.02</v>
      </c>
      <c r="G1149" s="89">
        <f t="shared" si="28"/>
        <v>16.199385960000001</v>
      </c>
    </row>
    <row r="1150" spans="1:7">
      <c r="A1150" s="87" t="s">
        <v>1917</v>
      </c>
      <c r="B1150" s="87" t="s">
        <v>1973</v>
      </c>
      <c r="C1150" s="278" t="s">
        <v>1974</v>
      </c>
      <c r="D1150" s="89" t="s">
        <v>167</v>
      </c>
      <c r="E1150" s="88">
        <v>0.498728</v>
      </c>
      <c r="F1150" s="89">
        <v>31.47</v>
      </c>
      <c r="G1150" s="89">
        <f t="shared" si="28"/>
        <v>15.69497016</v>
      </c>
    </row>
    <row r="1151" spans="1:7" ht="24">
      <c r="A1151" s="87" t="s">
        <v>1917</v>
      </c>
      <c r="B1151" s="87" t="s">
        <v>1975</v>
      </c>
      <c r="C1151" s="278" t="s">
        <v>1976</v>
      </c>
      <c r="D1151" s="89" t="s">
        <v>180</v>
      </c>
      <c r="E1151" s="88">
        <v>7.9799999999999992E-3</v>
      </c>
      <c r="F1151" s="89">
        <v>1499.2</v>
      </c>
      <c r="G1151" s="89">
        <f t="shared" si="28"/>
        <v>11.963616</v>
      </c>
    </row>
    <row r="1152" spans="1:7">
      <c r="A1152" s="87" t="s">
        <v>1917</v>
      </c>
      <c r="B1152" s="87" t="s">
        <v>1977</v>
      </c>
      <c r="C1152" s="278" t="s">
        <v>1978</v>
      </c>
      <c r="D1152" s="89" t="s">
        <v>180</v>
      </c>
      <c r="E1152" s="88">
        <f>E1151*4</f>
        <v>3.1919999999999997E-2</v>
      </c>
      <c r="F1152" s="89">
        <v>99.53</v>
      </c>
      <c r="G1152" s="89">
        <f t="shared" si="28"/>
        <v>3.1769975999999995</v>
      </c>
    </row>
    <row r="1153" spans="1:7">
      <c r="A1153" s="87" t="s">
        <v>1917</v>
      </c>
      <c r="B1153" s="87" t="s">
        <v>1979</v>
      </c>
      <c r="C1153" s="278" t="s">
        <v>1969</v>
      </c>
      <c r="D1153" s="89" t="s">
        <v>167</v>
      </c>
      <c r="E1153" s="88">
        <v>1.4999999999999999E-2</v>
      </c>
      <c r="F1153" s="89">
        <v>46.24</v>
      </c>
      <c r="G1153" s="89">
        <f t="shared" si="28"/>
        <v>0.69359999999999999</v>
      </c>
    </row>
    <row r="1154" spans="1:7">
      <c r="A1154" s="832" t="s">
        <v>1908</v>
      </c>
      <c r="B1154" s="833"/>
      <c r="C1154" s="833"/>
      <c r="D1154" s="833"/>
      <c r="E1154" s="833"/>
      <c r="F1154" s="834"/>
      <c r="G1154" s="90">
        <f>SUM(G1146:G1153)</f>
        <v>175.42726972</v>
      </c>
    </row>
    <row r="1155" spans="1:7">
      <c r="A1155" s="91"/>
      <c r="B1155" s="92"/>
      <c r="C1155" s="161"/>
      <c r="D1155" s="93"/>
      <c r="E1155" s="94"/>
      <c r="F1155" s="95"/>
      <c r="G1155" s="96"/>
    </row>
    <row r="1156" spans="1:7">
      <c r="A1156" s="835" t="s">
        <v>1909</v>
      </c>
      <c r="B1156" s="836"/>
      <c r="C1156" s="836"/>
      <c r="D1156" s="836"/>
      <c r="E1156" s="836"/>
      <c r="F1156" s="836"/>
      <c r="G1156" s="837"/>
    </row>
    <row r="1157" spans="1:7">
      <c r="A1157" s="84" t="s">
        <v>1903</v>
      </c>
      <c r="B1157" s="84" t="s">
        <v>131</v>
      </c>
      <c r="C1157" s="160" t="s">
        <v>1904</v>
      </c>
      <c r="D1157" s="84" t="s">
        <v>167</v>
      </c>
      <c r="E1157" s="85" t="s">
        <v>1905</v>
      </c>
      <c r="F1157" s="86" t="s">
        <v>1906</v>
      </c>
      <c r="G1157" s="86" t="s">
        <v>1907</v>
      </c>
    </row>
    <row r="1158" spans="1:7" ht="24">
      <c r="A1158" s="87" t="s">
        <v>2</v>
      </c>
      <c r="B1158" s="87">
        <v>88248</v>
      </c>
      <c r="C1158" s="278" t="s">
        <v>1947</v>
      </c>
      <c r="D1158" s="89" t="s">
        <v>137</v>
      </c>
      <c r="E1158" s="88">
        <v>0.32</v>
      </c>
      <c r="F1158" s="89">
        <v>21.45</v>
      </c>
      <c r="G1158" s="89">
        <f t="shared" ref="G1158:G1159" si="29">F1158*E1158</f>
        <v>6.8639999999999999</v>
      </c>
    </row>
    <row r="1159" spans="1:7" ht="24">
      <c r="A1159" s="87" t="s">
        <v>2</v>
      </c>
      <c r="B1159" s="87">
        <v>88267</v>
      </c>
      <c r="C1159" s="278" t="s">
        <v>1949</v>
      </c>
      <c r="D1159" s="89" t="s">
        <v>137</v>
      </c>
      <c r="E1159" s="88">
        <v>0.32</v>
      </c>
      <c r="F1159" s="89">
        <v>26.33</v>
      </c>
      <c r="G1159" s="89">
        <f t="shared" si="29"/>
        <v>8.4255999999999993</v>
      </c>
    </row>
    <row r="1160" spans="1:7">
      <c r="A1160" s="87"/>
      <c r="B1160" s="87"/>
      <c r="C1160" s="278"/>
      <c r="D1160" s="89"/>
      <c r="E1160" s="88"/>
      <c r="F1160" s="89"/>
      <c r="G1160" s="89"/>
    </row>
    <row r="1161" spans="1:7">
      <c r="A1161" s="832" t="s">
        <v>1908</v>
      </c>
      <c r="B1161" s="833"/>
      <c r="C1161" s="833"/>
      <c r="D1161" s="833"/>
      <c r="E1161" s="833"/>
      <c r="F1161" s="834"/>
      <c r="G1161" s="90">
        <f>SUM(G1158:G1160)</f>
        <v>15.2896</v>
      </c>
    </row>
    <row r="1162" spans="1:7">
      <c r="A1162" s="91"/>
      <c r="B1162" s="92"/>
      <c r="C1162" s="162"/>
      <c r="D1162" s="92"/>
      <c r="E1162" s="97"/>
      <c r="F1162" s="98"/>
      <c r="G1162" s="96"/>
    </row>
    <row r="1163" spans="1:7">
      <c r="A1163" s="835" t="s">
        <v>1912</v>
      </c>
      <c r="B1163" s="836"/>
      <c r="C1163" s="836"/>
      <c r="D1163" s="836"/>
      <c r="E1163" s="836"/>
      <c r="F1163" s="836"/>
      <c r="G1163" s="837"/>
    </row>
    <row r="1164" spans="1:7">
      <c r="A1164" s="84" t="s">
        <v>1903</v>
      </c>
      <c r="B1164" s="84" t="s">
        <v>131</v>
      </c>
      <c r="C1164" s="160" t="s">
        <v>1904</v>
      </c>
      <c r="D1164" s="84" t="s">
        <v>167</v>
      </c>
      <c r="E1164" s="85" t="s">
        <v>1905</v>
      </c>
      <c r="F1164" s="86" t="s">
        <v>1906</v>
      </c>
      <c r="G1164" s="86" t="s">
        <v>1907</v>
      </c>
    </row>
    <row r="1165" spans="1:7">
      <c r="A1165" s="87"/>
      <c r="B1165" s="87"/>
      <c r="C1165" s="278" t="s">
        <v>34</v>
      </c>
      <c r="D1165" s="89" t="s">
        <v>34</v>
      </c>
      <c r="E1165" s="88"/>
      <c r="F1165" s="89" t="s">
        <v>34</v>
      </c>
      <c r="G1165" s="89" t="s">
        <v>34</v>
      </c>
    </row>
    <row r="1166" spans="1:7">
      <c r="A1166" s="87"/>
      <c r="B1166" s="87"/>
      <c r="C1166" s="278" t="s">
        <v>34</v>
      </c>
      <c r="D1166" s="89" t="s">
        <v>34</v>
      </c>
      <c r="E1166" s="88"/>
      <c r="F1166" s="89" t="s">
        <v>34</v>
      </c>
      <c r="G1166" s="89" t="s">
        <v>34</v>
      </c>
    </row>
    <row r="1167" spans="1:7">
      <c r="A1167" s="832" t="s">
        <v>1908</v>
      </c>
      <c r="B1167" s="833" t="s">
        <v>1908</v>
      </c>
      <c r="C1167" s="833"/>
      <c r="D1167" s="833"/>
      <c r="E1167" s="833"/>
      <c r="F1167" s="834"/>
      <c r="G1167" s="90" t="s">
        <v>34</v>
      </c>
    </row>
    <row r="1168" spans="1:7" ht="13.5" thickBot="1">
      <c r="A1168" s="91"/>
      <c r="B1168" s="92"/>
      <c r="C1168" s="163"/>
      <c r="D1168" s="99"/>
      <c r="E1168" s="100"/>
      <c r="F1168" s="101"/>
      <c r="G1168" s="102"/>
    </row>
    <row r="1169" spans="1:11" ht="13.5" thickBot="1">
      <c r="A1169" s="838" t="s">
        <v>1259</v>
      </c>
      <c r="B1169" s="839"/>
      <c r="C1169" s="839"/>
      <c r="D1169" s="839"/>
      <c r="E1169" s="839"/>
      <c r="F1169" s="840"/>
      <c r="G1169" s="103">
        <f>G1161+G1154</f>
        <v>190.71686972000001</v>
      </c>
    </row>
    <row r="1172" spans="1:11">
      <c r="A1172" s="237" t="s">
        <v>131</v>
      </c>
      <c r="B1172" s="190" t="s">
        <v>27</v>
      </c>
      <c r="C1172" s="841" t="s">
        <v>1281</v>
      </c>
      <c r="D1172" s="841"/>
      <c r="E1172" s="841"/>
      <c r="F1172" s="841"/>
      <c r="G1172" s="81" t="s">
        <v>127</v>
      </c>
      <c r="I1172" s="480" t="s">
        <v>1901</v>
      </c>
      <c r="J1172" s="80"/>
      <c r="K1172" s="80"/>
    </row>
    <row r="1173" spans="1:11" ht="50.1" customHeight="1">
      <c r="A1173" s="179" t="s">
        <v>477</v>
      </c>
      <c r="B1173" s="82"/>
      <c r="C1173" s="830" t="s">
        <v>478</v>
      </c>
      <c r="D1173" s="831"/>
      <c r="E1173" s="831"/>
      <c r="F1173" s="186">
        <f>G1201</f>
        <v>4962.8867860400005</v>
      </c>
      <c r="G1173" s="83" t="s">
        <v>167</v>
      </c>
      <c r="I1173" s="481"/>
      <c r="J1173" s="272"/>
      <c r="K1173" s="272"/>
    </row>
    <row r="1174" spans="1:11">
      <c r="A1174" s="818" t="s">
        <v>1902</v>
      </c>
      <c r="B1174" s="819"/>
      <c r="C1174" s="819"/>
      <c r="D1174" s="819"/>
      <c r="E1174" s="819"/>
      <c r="F1174" s="819"/>
      <c r="G1174" s="820"/>
    </row>
    <row r="1175" spans="1:11">
      <c r="A1175" s="84" t="s">
        <v>1903</v>
      </c>
      <c r="B1175" s="84" t="s">
        <v>131</v>
      </c>
      <c r="C1175" s="160" t="s">
        <v>1904</v>
      </c>
      <c r="D1175" s="84" t="s">
        <v>167</v>
      </c>
      <c r="E1175" s="85" t="s">
        <v>1905</v>
      </c>
      <c r="F1175" s="86" t="s">
        <v>1906</v>
      </c>
      <c r="G1175" s="86" t="s">
        <v>1907</v>
      </c>
    </row>
    <row r="1176" spans="1:11" ht="36">
      <c r="A1176" s="87" t="s">
        <v>1917</v>
      </c>
      <c r="B1176" s="187" t="s">
        <v>1995</v>
      </c>
      <c r="C1176" s="278" t="s">
        <v>478</v>
      </c>
      <c r="D1176" s="89" t="s">
        <v>167</v>
      </c>
      <c r="E1176" s="88">
        <v>1</v>
      </c>
      <c r="F1176" s="89">
        <f>'Mapa Cotações'!M35</f>
        <v>4790.68</v>
      </c>
      <c r="G1176" s="89">
        <f t="shared" ref="G1176:G1185" si="30">F1176*E1176</f>
        <v>4790.68</v>
      </c>
    </row>
    <row r="1177" spans="1:11">
      <c r="A1177" s="87" t="s">
        <v>2</v>
      </c>
      <c r="B1177" s="87">
        <v>3148</v>
      </c>
      <c r="C1177" s="278" t="s">
        <v>1956</v>
      </c>
      <c r="D1177" s="89" t="s">
        <v>1930</v>
      </c>
      <c r="E1177" s="88">
        <v>7.9199999999999993E-2</v>
      </c>
      <c r="F1177" s="89">
        <v>12.76</v>
      </c>
      <c r="G1177" s="89">
        <f t="shared" si="30"/>
        <v>1.0105919999999999</v>
      </c>
    </row>
    <row r="1178" spans="1:11" ht="48">
      <c r="A1178" s="87" t="s">
        <v>1917</v>
      </c>
      <c r="B1178" s="87" t="str">
        <f>'Mapa Cotações'!A193</f>
        <v>COT-0200</v>
      </c>
      <c r="C1178" s="278" t="str">
        <f>'Mapa Cotações'!B193</f>
        <v>CALHA EM POLIESTIRENO (ISOPOR) EXPANDIDO, AUTO EXTINGUÍVEL, GRAU F1,COM 2" DE ESPESSURA - DIÂMETRO = 6" (TUBO DE EPS-T2-F(densidade de 11 a 13
kg/m³) 1000x254x254(152,4int/50,8par))</v>
      </c>
      <c r="D1178" s="89" t="s">
        <v>180</v>
      </c>
      <c r="E1178" s="88">
        <v>0.2</v>
      </c>
      <c r="F1178" s="89">
        <f>'Mapa Cotações'!M193</f>
        <v>70</v>
      </c>
      <c r="G1178" s="89">
        <f t="shared" si="30"/>
        <v>14</v>
      </c>
    </row>
    <row r="1179" spans="1:11">
      <c r="A1179" s="87" t="s">
        <v>1917</v>
      </c>
      <c r="B1179" s="87" t="s">
        <v>1968</v>
      </c>
      <c r="C1179" s="278" t="s">
        <v>1972</v>
      </c>
      <c r="D1179" s="89" t="s">
        <v>167</v>
      </c>
      <c r="E1179" s="88">
        <f>0.079796/3</f>
        <v>2.659866666666667E-2</v>
      </c>
      <c r="F1179" s="89">
        <v>406.02</v>
      </c>
      <c r="G1179" s="89">
        <f t="shared" si="30"/>
        <v>10.79959064</v>
      </c>
    </row>
    <row r="1180" spans="1:11">
      <c r="A1180" s="87" t="s">
        <v>1917</v>
      </c>
      <c r="B1180" s="87" t="s">
        <v>1973</v>
      </c>
      <c r="C1180" s="278" t="s">
        <v>1974</v>
      </c>
      <c r="D1180" s="89" t="s">
        <v>167</v>
      </c>
      <c r="E1180" s="88">
        <f>0.997456/3</f>
        <v>0.33248533333333335</v>
      </c>
      <c r="F1180" s="89">
        <v>31.47</v>
      </c>
      <c r="G1180" s="89">
        <f t="shared" si="30"/>
        <v>10.46331344</v>
      </c>
    </row>
    <row r="1181" spans="1:11" ht="24">
      <c r="A1181" s="87" t="s">
        <v>1917</v>
      </c>
      <c r="B1181" s="87" t="s">
        <v>1975</v>
      </c>
      <c r="C1181" s="278" t="s">
        <v>1976</v>
      </c>
      <c r="D1181" s="89" t="s">
        <v>1981</v>
      </c>
      <c r="E1181" s="88">
        <f>0.015959/3</f>
        <v>5.319666666666667E-3</v>
      </c>
      <c r="F1181" s="89">
        <v>1499.2</v>
      </c>
      <c r="G1181" s="89">
        <f t="shared" si="30"/>
        <v>7.9752442666666674</v>
      </c>
    </row>
    <row r="1182" spans="1:11">
      <c r="A1182" s="87" t="s">
        <v>1917</v>
      </c>
      <c r="B1182" s="87" t="s">
        <v>1977</v>
      </c>
      <c r="C1182" s="278" t="s">
        <v>1978</v>
      </c>
      <c r="D1182" s="89" t="s">
        <v>180</v>
      </c>
      <c r="E1182" s="88">
        <f>E1181*4</f>
        <v>2.1278666666666668E-2</v>
      </c>
      <c r="F1182" s="89">
        <v>99.53</v>
      </c>
      <c r="G1182" s="89">
        <f t="shared" si="30"/>
        <v>2.1178656933333335</v>
      </c>
    </row>
    <row r="1183" spans="1:11">
      <c r="A1183" s="87" t="s">
        <v>1917</v>
      </c>
      <c r="B1183" s="87" t="s">
        <v>1979</v>
      </c>
      <c r="C1183" s="278" t="s">
        <v>1969</v>
      </c>
      <c r="D1183" s="89" t="s">
        <v>167</v>
      </c>
      <c r="E1183" s="88">
        <v>5.0000000000000001E-3</v>
      </c>
      <c r="F1183" s="89">
        <v>46.24</v>
      </c>
      <c r="G1183" s="89">
        <f t="shared" si="30"/>
        <v>0.23120000000000002</v>
      </c>
    </row>
    <row r="1184" spans="1:11" ht="24">
      <c r="A1184" s="87" t="s">
        <v>1917</v>
      </c>
      <c r="B1184" s="87" t="str">
        <f>'Mapa Cotações'!A196</f>
        <v>COT-0203</v>
      </c>
      <c r="C1184" s="278" t="str">
        <f>'Mapa Cotações'!B196</f>
        <v>GUARNIÇÃO DE BORRACHA PARA VEDAÇÃO DE VÁLVULA DE 6"</v>
      </c>
      <c r="D1184" s="89" t="s">
        <v>167</v>
      </c>
      <c r="E1184" s="88">
        <v>2</v>
      </c>
      <c r="F1184" s="89">
        <f>'Mapa Cotações'!M196</f>
        <v>37.880000000000003</v>
      </c>
      <c r="G1184" s="89">
        <f t="shared" si="30"/>
        <v>75.760000000000005</v>
      </c>
    </row>
    <row r="1185" spans="1:7" ht="36">
      <c r="A1185" s="87" t="s">
        <v>1917</v>
      </c>
      <c r="B1185" s="87" t="s">
        <v>1996</v>
      </c>
      <c r="C1185" s="278" t="s">
        <v>1997</v>
      </c>
      <c r="D1185" s="89" t="s">
        <v>180</v>
      </c>
      <c r="E1185" s="88">
        <v>0.1</v>
      </c>
      <c r="F1185" s="89">
        <v>72.77</v>
      </c>
      <c r="G1185" s="89">
        <f t="shared" si="30"/>
        <v>7.2770000000000001</v>
      </c>
    </row>
    <row r="1186" spans="1:7">
      <c r="A1186" s="493"/>
      <c r="B1186" s="494"/>
      <c r="C1186" s="495"/>
      <c r="D1186" s="496"/>
      <c r="E1186" s="497"/>
      <c r="F1186" s="499"/>
      <c r="G1186" s="89"/>
    </row>
    <row r="1187" spans="1:7">
      <c r="A1187" s="832" t="s">
        <v>1908</v>
      </c>
      <c r="B1187" s="833"/>
      <c r="C1187" s="833"/>
      <c r="D1187" s="833"/>
      <c r="E1187" s="833"/>
      <c r="F1187" s="834"/>
      <c r="G1187" s="90">
        <f>SUM(G1176:G1185)</f>
        <v>4920.3148060400008</v>
      </c>
    </row>
    <row r="1188" spans="1:7">
      <c r="A1188" s="91"/>
      <c r="B1188" s="92"/>
      <c r="C1188" s="161"/>
      <c r="D1188" s="93"/>
      <c r="E1188" s="94"/>
      <c r="F1188" s="95"/>
      <c r="G1188" s="96"/>
    </row>
    <row r="1189" spans="1:7">
      <c r="A1189" s="835" t="s">
        <v>1909</v>
      </c>
      <c r="B1189" s="836"/>
      <c r="C1189" s="836"/>
      <c r="D1189" s="836"/>
      <c r="E1189" s="836"/>
      <c r="F1189" s="836"/>
      <c r="G1189" s="837"/>
    </row>
    <row r="1190" spans="1:7">
      <c r="A1190" s="84" t="s">
        <v>1903</v>
      </c>
      <c r="B1190" s="84" t="s">
        <v>131</v>
      </c>
      <c r="C1190" s="160" t="s">
        <v>1904</v>
      </c>
      <c r="D1190" s="84" t="s">
        <v>167</v>
      </c>
      <c r="E1190" s="85" t="s">
        <v>1905</v>
      </c>
      <c r="F1190" s="86" t="s">
        <v>1906</v>
      </c>
      <c r="G1190" s="86" t="s">
        <v>1907</v>
      </c>
    </row>
    <row r="1191" spans="1:7" ht="24">
      <c r="A1191" s="87" t="s">
        <v>2</v>
      </c>
      <c r="B1191" s="87">
        <v>88248</v>
      </c>
      <c r="C1191" s="278" t="s">
        <v>1947</v>
      </c>
      <c r="D1191" s="89" t="s">
        <v>137</v>
      </c>
      <c r="E1191" s="88">
        <v>0.89100000000000001</v>
      </c>
      <c r="F1191" s="89">
        <v>21.45</v>
      </c>
      <c r="G1191" s="89">
        <f t="shared" ref="G1191:G1192" si="31">F1191*E1191</f>
        <v>19.11195</v>
      </c>
    </row>
    <row r="1192" spans="1:7" ht="24">
      <c r="A1192" s="87" t="s">
        <v>2</v>
      </c>
      <c r="B1192" s="87">
        <v>88267</v>
      </c>
      <c r="C1192" s="278" t="s">
        <v>1949</v>
      </c>
      <c r="D1192" s="89" t="s">
        <v>137</v>
      </c>
      <c r="E1192" s="88">
        <v>0.89100000000000001</v>
      </c>
      <c r="F1192" s="89">
        <v>26.33</v>
      </c>
      <c r="G1192" s="89">
        <f t="shared" si="31"/>
        <v>23.46003</v>
      </c>
    </row>
    <row r="1193" spans="1:7">
      <c r="A1193" s="832" t="s">
        <v>1908</v>
      </c>
      <c r="B1193" s="833"/>
      <c r="C1193" s="833"/>
      <c r="D1193" s="833"/>
      <c r="E1193" s="833"/>
      <c r="F1193" s="834"/>
      <c r="G1193" s="90">
        <f>SUM(G1191:G1192)</f>
        <v>42.571979999999996</v>
      </c>
    </row>
    <row r="1194" spans="1:7">
      <c r="A1194" s="91"/>
      <c r="B1194" s="92"/>
      <c r="C1194" s="162"/>
      <c r="D1194" s="92"/>
      <c r="E1194" s="97"/>
      <c r="F1194" s="98"/>
      <c r="G1194" s="96"/>
    </row>
    <row r="1195" spans="1:7">
      <c r="A1195" s="835" t="s">
        <v>1912</v>
      </c>
      <c r="B1195" s="836"/>
      <c r="C1195" s="836"/>
      <c r="D1195" s="836"/>
      <c r="E1195" s="836"/>
      <c r="F1195" s="836"/>
      <c r="G1195" s="837"/>
    </row>
    <row r="1196" spans="1:7">
      <c r="A1196" s="84" t="s">
        <v>1903</v>
      </c>
      <c r="B1196" s="84" t="s">
        <v>131</v>
      </c>
      <c r="C1196" s="160" t="s">
        <v>1904</v>
      </c>
      <c r="D1196" s="84" t="s">
        <v>167</v>
      </c>
      <c r="E1196" s="85" t="s">
        <v>1905</v>
      </c>
      <c r="F1196" s="86" t="s">
        <v>1906</v>
      </c>
      <c r="G1196" s="86" t="s">
        <v>1907</v>
      </c>
    </row>
    <row r="1197" spans="1:7">
      <c r="A1197" s="87"/>
      <c r="B1197" s="87"/>
      <c r="C1197" s="278" t="s">
        <v>34</v>
      </c>
      <c r="D1197" s="89" t="s">
        <v>34</v>
      </c>
      <c r="E1197" s="88"/>
      <c r="F1197" s="89" t="s">
        <v>34</v>
      </c>
      <c r="G1197" s="89" t="s">
        <v>34</v>
      </c>
    </row>
    <row r="1198" spans="1:7">
      <c r="A1198" s="87"/>
      <c r="B1198" s="87"/>
      <c r="C1198" s="278" t="s">
        <v>34</v>
      </c>
      <c r="D1198" s="89" t="s">
        <v>34</v>
      </c>
      <c r="E1198" s="88"/>
      <c r="F1198" s="89" t="s">
        <v>34</v>
      </c>
      <c r="G1198" s="89" t="s">
        <v>34</v>
      </c>
    </row>
    <row r="1199" spans="1:7">
      <c r="A1199" s="832" t="s">
        <v>1908</v>
      </c>
      <c r="B1199" s="833" t="s">
        <v>1908</v>
      </c>
      <c r="C1199" s="833"/>
      <c r="D1199" s="833"/>
      <c r="E1199" s="833"/>
      <c r="F1199" s="834"/>
      <c r="G1199" s="90" t="s">
        <v>34</v>
      </c>
    </row>
    <row r="1200" spans="1:7" ht="13.5" thickBot="1">
      <c r="A1200" s="91"/>
      <c r="B1200" s="92"/>
      <c r="C1200" s="163"/>
      <c r="D1200" s="99"/>
      <c r="E1200" s="100"/>
      <c r="F1200" s="101"/>
      <c r="G1200" s="102"/>
    </row>
    <row r="1201" spans="1:11" ht="13.5" thickBot="1">
      <c r="A1201" s="838" t="s">
        <v>1259</v>
      </c>
      <c r="B1201" s="839"/>
      <c r="C1201" s="839"/>
      <c r="D1201" s="839"/>
      <c r="E1201" s="839"/>
      <c r="F1201" s="840"/>
      <c r="G1201" s="103">
        <f>SUM(G1199,G1193,G1187)</f>
        <v>4962.8867860400005</v>
      </c>
    </row>
    <row r="1204" spans="1:11">
      <c r="A1204" s="237" t="s">
        <v>131</v>
      </c>
      <c r="B1204" s="190" t="s">
        <v>27</v>
      </c>
      <c r="C1204" s="841" t="s">
        <v>1281</v>
      </c>
      <c r="D1204" s="841"/>
      <c r="E1204" s="841"/>
      <c r="F1204" s="841"/>
      <c r="G1204" s="81" t="s">
        <v>127</v>
      </c>
      <c r="I1204" s="480" t="s">
        <v>1901</v>
      </c>
      <c r="J1204" s="80"/>
      <c r="K1204" s="80"/>
    </row>
    <row r="1205" spans="1:11" ht="50.1" customHeight="1">
      <c r="A1205" s="179" t="s">
        <v>480</v>
      </c>
      <c r="B1205" s="82"/>
      <c r="C1205" s="830" t="s">
        <v>481</v>
      </c>
      <c r="D1205" s="831"/>
      <c r="E1205" s="831"/>
      <c r="F1205" s="186">
        <f>G1233</f>
        <v>4310.6565030666679</v>
      </c>
      <c r="G1205" s="83" t="s">
        <v>167</v>
      </c>
      <c r="I1205" s="481"/>
      <c r="J1205" s="272"/>
      <c r="K1205" s="272"/>
    </row>
    <row r="1206" spans="1:11">
      <c r="A1206" s="818" t="s">
        <v>1902</v>
      </c>
      <c r="B1206" s="819"/>
      <c r="C1206" s="819"/>
      <c r="D1206" s="819"/>
      <c r="E1206" s="819"/>
      <c r="F1206" s="819"/>
      <c r="G1206" s="820"/>
    </row>
    <row r="1207" spans="1:11">
      <c r="A1207" s="84" t="s">
        <v>1903</v>
      </c>
      <c r="B1207" s="84" t="s">
        <v>131</v>
      </c>
      <c r="C1207" s="160" t="s">
        <v>1904</v>
      </c>
      <c r="D1207" s="84" t="s">
        <v>167</v>
      </c>
      <c r="E1207" s="85" t="s">
        <v>1905</v>
      </c>
      <c r="F1207" s="86" t="s">
        <v>1906</v>
      </c>
      <c r="G1207" s="86" t="s">
        <v>1907</v>
      </c>
    </row>
    <row r="1208" spans="1:11" ht="36">
      <c r="A1208" s="87" t="s">
        <v>1917</v>
      </c>
      <c r="B1208" s="87" t="s">
        <v>1998</v>
      </c>
      <c r="C1208" s="278" t="s">
        <v>481</v>
      </c>
      <c r="D1208" s="89" t="s">
        <v>167</v>
      </c>
      <c r="E1208" s="88">
        <v>1</v>
      </c>
      <c r="F1208" s="89">
        <f>'Mapa Cotações'!M36</f>
        <v>4088.26</v>
      </c>
      <c r="G1208" s="89">
        <f t="shared" ref="G1208:G1217" si="32">F1208*E1208</f>
        <v>4088.26</v>
      </c>
    </row>
    <row r="1209" spans="1:11">
      <c r="A1209" s="87" t="s">
        <v>2</v>
      </c>
      <c r="B1209" s="87">
        <v>3148</v>
      </c>
      <c r="C1209" s="278" t="s">
        <v>1956</v>
      </c>
      <c r="D1209" s="89" t="s">
        <v>1930</v>
      </c>
      <c r="E1209" s="88">
        <v>6.6000000000000003E-2</v>
      </c>
      <c r="F1209" s="89">
        <v>12.76</v>
      </c>
      <c r="G1209" s="89">
        <f t="shared" si="32"/>
        <v>0.84216000000000002</v>
      </c>
    </row>
    <row r="1210" spans="1:11" ht="36">
      <c r="A1210" s="87" t="s">
        <v>1917</v>
      </c>
      <c r="B1210" s="87" t="s">
        <v>1999</v>
      </c>
      <c r="C1210" s="278" t="s">
        <v>1575</v>
      </c>
      <c r="D1210" s="89" t="s">
        <v>180</v>
      </c>
      <c r="E1210" s="88">
        <f>1.039/3</f>
        <v>0.34633333333333333</v>
      </c>
      <c r="F1210" s="89">
        <f>'Mapa Cotações'!M184</f>
        <v>63</v>
      </c>
      <c r="G1210" s="89">
        <f t="shared" si="32"/>
        <v>21.818999999999999</v>
      </c>
    </row>
    <row r="1211" spans="1:11">
      <c r="A1211" s="87" t="s">
        <v>1917</v>
      </c>
      <c r="B1211" s="87" t="s">
        <v>1968</v>
      </c>
      <c r="C1211" s="278" t="s">
        <v>1972</v>
      </c>
      <c r="D1211" s="89" t="s">
        <v>167</v>
      </c>
      <c r="E1211" s="88">
        <f>0.071817/3</f>
        <v>2.3939000000000002E-2</v>
      </c>
      <c r="F1211" s="89">
        <v>406.02</v>
      </c>
      <c r="G1211" s="89">
        <f t="shared" si="32"/>
        <v>9.7197127800000001</v>
      </c>
    </row>
    <row r="1212" spans="1:11">
      <c r="A1212" s="87" t="s">
        <v>1917</v>
      </c>
      <c r="B1212" s="87" t="s">
        <v>1973</v>
      </c>
      <c r="C1212" s="278" t="s">
        <v>1974</v>
      </c>
      <c r="D1212" s="89" t="s">
        <v>167</v>
      </c>
      <c r="E1212" s="88">
        <f>0.89771/3</f>
        <v>0.29923666666666665</v>
      </c>
      <c r="F1212" s="89">
        <v>31.47</v>
      </c>
      <c r="G1212" s="89">
        <f t="shared" si="32"/>
        <v>9.4169778999999991</v>
      </c>
    </row>
    <row r="1213" spans="1:11" ht="24">
      <c r="A1213" s="87" t="s">
        <v>1917</v>
      </c>
      <c r="B1213" s="87" t="s">
        <v>1975</v>
      </c>
      <c r="C1213" s="278" t="s">
        <v>1976</v>
      </c>
      <c r="D1213" s="89" t="s">
        <v>180</v>
      </c>
      <c r="E1213" s="88">
        <f>0.014363/3</f>
        <v>4.7876666666666666E-3</v>
      </c>
      <c r="F1213" s="89">
        <v>1499.2</v>
      </c>
      <c r="G1213" s="89">
        <f t="shared" si="32"/>
        <v>7.1776698666666672</v>
      </c>
    </row>
    <row r="1214" spans="1:11">
      <c r="A1214" s="87" t="s">
        <v>1917</v>
      </c>
      <c r="B1214" s="87" t="s">
        <v>1977</v>
      </c>
      <c r="C1214" s="278" t="s">
        <v>1978</v>
      </c>
      <c r="D1214" s="89" t="s">
        <v>180</v>
      </c>
      <c r="E1214" s="88">
        <f>0.057452/3</f>
        <v>1.9150666666666667E-2</v>
      </c>
      <c r="F1214" s="89">
        <v>99.53</v>
      </c>
      <c r="G1214" s="89">
        <f t="shared" si="32"/>
        <v>1.9060658533333334</v>
      </c>
    </row>
    <row r="1215" spans="1:11">
      <c r="A1215" s="87" t="s">
        <v>1917</v>
      </c>
      <c r="B1215" s="87" t="s">
        <v>1979</v>
      </c>
      <c r="C1215" s="278" t="s">
        <v>1969</v>
      </c>
      <c r="D1215" s="89" t="s">
        <v>167</v>
      </c>
      <c r="E1215" s="88">
        <f>0.02/3</f>
        <v>6.6666666666666671E-3</v>
      </c>
      <c r="F1215" s="89">
        <v>46.24</v>
      </c>
      <c r="G1215" s="89">
        <f t="shared" si="32"/>
        <v>0.30826666666666669</v>
      </c>
    </row>
    <row r="1216" spans="1:11" ht="24">
      <c r="A1216" s="87" t="s">
        <v>1917</v>
      </c>
      <c r="B1216" s="87" t="str">
        <f>'Mapa Cotações'!A197</f>
        <v>COT-0204</v>
      </c>
      <c r="C1216" s="278" t="str">
        <f>'Mapa Cotações'!B197</f>
        <v>GUARNIÇÃO DE BORRACHA PARA VEDAÇÃO DE VÁLVULA DE 5"</v>
      </c>
      <c r="D1216" s="89" t="s">
        <v>167</v>
      </c>
      <c r="E1216" s="88">
        <v>2</v>
      </c>
      <c r="F1216" s="89">
        <f>'Mapa Cotações'!M197</f>
        <v>31.48</v>
      </c>
      <c r="G1216" s="89">
        <f t="shared" si="32"/>
        <v>62.96</v>
      </c>
    </row>
    <row r="1217" spans="1:7" ht="36">
      <c r="A1217" s="87" t="s">
        <v>1917</v>
      </c>
      <c r="B1217" s="87" t="s">
        <v>1996</v>
      </c>
      <c r="C1217" s="278" t="s">
        <v>1997</v>
      </c>
      <c r="D1217" s="89" t="s">
        <v>180</v>
      </c>
      <c r="E1217" s="88">
        <v>1</v>
      </c>
      <c r="F1217" s="89">
        <v>72.77</v>
      </c>
      <c r="G1217" s="89">
        <f t="shared" si="32"/>
        <v>72.77</v>
      </c>
    </row>
    <row r="1218" spans="1:7">
      <c r="A1218" s="493"/>
      <c r="B1218" s="494"/>
      <c r="C1218" s="495"/>
      <c r="D1218" s="496"/>
      <c r="E1218" s="497"/>
      <c r="F1218" s="499"/>
      <c r="G1218" s="89"/>
    </row>
    <row r="1219" spans="1:7">
      <c r="A1219" s="832" t="s">
        <v>1908</v>
      </c>
      <c r="B1219" s="833"/>
      <c r="C1219" s="833"/>
      <c r="D1219" s="833"/>
      <c r="E1219" s="833"/>
      <c r="F1219" s="834"/>
      <c r="G1219" s="90">
        <f>SUM(G1208:G1217)</f>
        <v>4275.1798530666683</v>
      </c>
    </row>
    <row r="1220" spans="1:7">
      <c r="A1220" s="91"/>
      <c r="B1220" s="92"/>
      <c r="C1220" s="161"/>
      <c r="D1220" s="93"/>
      <c r="E1220" s="94"/>
      <c r="F1220" s="95"/>
      <c r="G1220" s="96"/>
    </row>
    <row r="1221" spans="1:7">
      <c r="A1221" s="835" t="s">
        <v>1909</v>
      </c>
      <c r="B1221" s="836"/>
      <c r="C1221" s="836"/>
      <c r="D1221" s="836"/>
      <c r="E1221" s="836"/>
      <c r="F1221" s="836"/>
      <c r="G1221" s="837"/>
    </row>
    <row r="1222" spans="1:7">
      <c r="A1222" s="84" t="s">
        <v>1903</v>
      </c>
      <c r="B1222" s="84" t="s">
        <v>131</v>
      </c>
      <c r="C1222" s="160" t="s">
        <v>1904</v>
      </c>
      <c r="D1222" s="84" t="s">
        <v>167</v>
      </c>
      <c r="E1222" s="85" t="s">
        <v>1905</v>
      </c>
      <c r="F1222" s="86" t="s">
        <v>1906</v>
      </c>
      <c r="G1222" s="86" t="s">
        <v>1907</v>
      </c>
    </row>
    <row r="1223" spans="1:7" ht="24">
      <c r="A1223" s="87" t="s">
        <v>2</v>
      </c>
      <c r="B1223" s="87">
        <v>88248</v>
      </c>
      <c r="C1223" s="278" t="s">
        <v>1947</v>
      </c>
      <c r="D1223" s="89" t="s">
        <v>137</v>
      </c>
      <c r="E1223" s="88">
        <v>0.74249999999999994</v>
      </c>
      <c r="F1223" s="89">
        <v>21.45</v>
      </c>
      <c r="G1223" s="89">
        <v>15.926624999999998</v>
      </c>
    </row>
    <row r="1224" spans="1:7" ht="24">
      <c r="A1224" s="87" t="s">
        <v>2</v>
      </c>
      <c r="B1224" s="87">
        <v>88267</v>
      </c>
      <c r="C1224" s="278" t="s">
        <v>1949</v>
      </c>
      <c r="D1224" s="89" t="s">
        <v>137</v>
      </c>
      <c r="E1224" s="88">
        <v>0.74249999999999994</v>
      </c>
      <c r="F1224" s="89">
        <v>26.33</v>
      </c>
      <c r="G1224" s="89">
        <v>19.550024999999998</v>
      </c>
    </row>
    <row r="1225" spans="1:7">
      <c r="A1225" s="832" t="s">
        <v>1908</v>
      </c>
      <c r="B1225" s="833"/>
      <c r="C1225" s="833"/>
      <c r="D1225" s="833"/>
      <c r="E1225" s="833"/>
      <c r="F1225" s="834"/>
      <c r="G1225" s="90">
        <v>35.476649999999992</v>
      </c>
    </row>
    <row r="1226" spans="1:7">
      <c r="A1226" s="91"/>
      <c r="B1226" s="92"/>
      <c r="C1226" s="162"/>
      <c r="D1226" s="92"/>
      <c r="E1226" s="97"/>
      <c r="F1226" s="98"/>
      <c r="G1226" s="96"/>
    </row>
    <row r="1227" spans="1:7">
      <c r="A1227" s="835" t="s">
        <v>1912</v>
      </c>
      <c r="B1227" s="836"/>
      <c r="C1227" s="836"/>
      <c r="D1227" s="836"/>
      <c r="E1227" s="836"/>
      <c r="F1227" s="836"/>
      <c r="G1227" s="837"/>
    </row>
    <row r="1228" spans="1:7">
      <c r="A1228" s="84" t="s">
        <v>1903</v>
      </c>
      <c r="B1228" s="84" t="s">
        <v>131</v>
      </c>
      <c r="C1228" s="160" t="s">
        <v>1904</v>
      </c>
      <c r="D1228" s="84" t="s">
        <v>167</v>
      </c>
      <c r="E1228" s="85" t="s">
        <v>1905</v>
      </c>
      <c r="F1228" s="86" t="s">
        <v>1906</v>
      </c>
      <c r="G1228" s="86" t="s">
        <v>1907</v>
      </c>
    </row>
    <row r="1229" spans="1:7">
      <c r="A1229" s="87"/>
      <c r="B1229" s="87"/>
      <c r="C1229" s="278" t="s">
        <v>34</v>
      </c>
      <c r="D1229" s="89" t="s">
        <v>34</v>
      </c>
      <c r="E1229" s="88"/>
      <c r="F1229" s="89" t="s">
        <v>34</v>
      </c>
      <c r="G1229" s="89" t="s">
        <v>34</v>
      </c>
    </row>
    <row r="1230" spans="1:7">
      <c r="A1230" s="87"/>
      <c r="B1230" s="87"/>
      <c r="C1230" s="278" t="s">
        <v>34</v>
      </c>
      <c r="D1230" s="89" t="s">
        <v>34</v>
      </c>
      <c r="E1230" s="88"/>
      <c r="F1230" s="89" t="s">
        <v>34</v>
      </c>
      <c r="G1230" s="89" t="s">
        <v>34</v>
      </c>
    </row>
    <row r="1231" spans="1:7">
      <c r="A1231" s="832" t="s">
        <v>1908</v>
      </c>
      <c r="B1231" s="833" t="s">
        <v>1908</v>
      </c>
      <c r="C1231" s="833"/>
      <c r="D1231" s="833"/>
      <c r="E1231" s="833"/>
      <c r="F1231" s="834"/>
      <c r="G1231" s="90" t="s">
        <v>34</v>
      </c>
    </row>
    <row r="1232" spans="1:7" ht="13.5" thickBot="1">
      <c r="A1232" s="91"/>
      <c r="B1232" s="92"/>
      <c r="C1232" s="163"/>
      <c r="D1232" s="99"/>
      <c r="E1232" s="100"/>
      <c r="F1232" s="101"/>
      <c r="G1232" s="102"/>
    </row>
    <row r="1233" spans="1:11" ht="13.5" thickBot="1">
      <c r="A1233" s="838" t="s">
        <v>1259</v>
      </c>
      <c r="B1233" s="839"/>
      <c r="C1233" s="839"/>
      <c r="D1233" s="839"/>
      <c r="E1233" s="839"/>
      <c r="F1233" s="840"/>
      <c r="G1233" s="103">
        <f>SUM(G1231,G1225,G1219)</f>
        <v>4310.6565030666679</v>
      </c>
    </row>
    <row r="1236" spans="1:11">
      <c r="A1236" s="237" t="s">
        <v>131</v>
      </c>
      <c r="B1236" s="190" t="s">
        <v>27</v>
      </c>
      <c r="C1236" s="841" t="s">
        <v>1281</v>
      </c>
      <c r="D1236" s="841"/>
      <c r="E1236" s="841"/>
      <c r="F1236" s="841"/>
      <c r="G1236" s="81" t="s">
        <v>127</v>
      </c>
      <c r="I1236" s="480" t="s">
        <v>1901</v>
      </c>
      <c r="J1236" s="80"/>
      <c r="K1236" s="80"/>
    </row>
    <row r="1237" spans="1:11" ht="50.1" customHeight="1">
      <c r="A1237" s="179" t="s">
        <v>483</v>
      </c>
      <c r="B1237" s="82"/>
      <c r="C1237" s="830" t="s">
        <v>484</v>
      </c>
      <c r="D1237" s="831"/>
      <c r="E1237" s="831"/>
      <c r="F1237" s="186">
        <f>G1265</f>
        <v>828.58374063250005</v>
      </c>
      <c r="G1237" s="83" t="s">
        <v>167</v>
      </c>
      <c r="I1237" s="481"/>
      <c r="J1237" s="272"/>
      <c r="K1237" s="272"/>
    </row>
    <row r="1238" spans="1:11">
      <c r="A1238" s="818" t="s">
        <v>1902</v>
      </c>
      <c r="B1238" s="819"/>
      <c r="C1238" s="819"/>
      <c r="D1238" s="819"/>
      <c r="E1238" s="819"/>
      <c r="F1238" s="819"/>
      <c r="G1238" s="820"/>
    </row>
    <row r="1239" spans="1:11">
      <c r="A1239" s="84" t="s">
        <v>1903</v>
      </c>
      <c r="B1239" s="84" t="s">
        <v>131</v>
      </c>
      <c r="C1239" s="160" t="s">
        <v>1904</v>
      </c>
      <c r="D1239" s="84" t="s">
        <v>167</v>
      </c>
      <c r="E1239" s="85" t="s">
        <v>1905</v>
      </c>
      <c r="F1239" s="86" t="s">
        <v>1906</v>
      </c>
      <c r="G1239" s="86" t="s">
        <v>1907</v>
      </c>
    </row>
    <row r="1240" spans="1:11" ht="36">
      <c r="A1240" s="87" t="s">
        <v>1917</v>
      </c>
      <c r="B1240" s="87" t="s">
        <v>2000</v>
      </c>
      <c r="C1240" s="278" t="s">
        <v>484</v>
      </c>
      <c r="D1240" s="89" t="s">
        <v>167</v>
      </c>
      <c r="E1240" s="88">
        <v>1</v>
      </c>
      <c r="F1240" s="89">
        <f>'Mapa Cotações'!M37</f>
        <v>721.91</v>
      </c>
      <c r="G1240" s="89">
        <f t="shared" ref="G1240:G1249" si="33">F1240*E1240</f>
        <v>721.91</v>
      </c>
    </row>
    <row r="1241" spans="1:11">
      <c r="A1241" s="87" t="s">
        <v>2</v>
      </c>
      <c r="B1241" s="87">
        <v>3148</v>
      </c>
      <c r="C1241" s="278" t="s">
        <v>1956</v>
      </c>
      <c r="D1241" s="89" t="s">
        <v>1930</v>
      </c>
      <c r="E1241" s="88">
        <v>3.9599999999999996E-2</v>
      </c>
      <c r="F1241" s="89">
        <v>12.76</v>
      </c>
      <c r="G1241" s="89">
        <f t="shared" si="33"/>
        <v>0.50529599999999997</v>
      </c>
    </row>
    <row r="1242" spans="1:11" ht="36">
      <c r="A1242" s="87" t="s">
        <v>1917</v>
      </c>
      <c r="B1242" s="87" t="s">
        <v>2001</v>
      </c>
      <c r="C1242" s="278" t="s">
        <v>1581</v>
      </c>
      <c r="D1242" s="89" t="s">
        <v>180</v>
      </c>
      <c r="E1242" s="88">
        <f>1.039/4</f>
        <v>0.25974999999999998</v>
      </c>
      <c r="F1242" s="89">
        <f>'Mapa Cotações'!M186</f>
        <v>35.5</v>
      </c>
      <c r="G1242" s="89">
        <f t="shared" si="33"/>
        <v>9.2211249999999989</v>
      </c>
    </row>
    <row r="1243" spans="1:11">
      <c r="A1243" s="87" t="s">
        <v>1917</v>
      </c>
      <c r="B1243" s="87" t="s">
        <v>1968</v>
      </c>
      <c r="C1243" s="278" t="s">
        <v>1972</v>
      </c>
      <c r="D1243" s="89" t="s">
        <v>167</v>
      </c>
      <c r="E1243" s="88">
        <f>0.055858/4</f>
        <v>1.3964499999999999E-2</v>
      </c>
      <c r="F1243" s="89">
        <v>406.02</v>
      </c>
      <c r="G1243" s="89">
        <f t="shared" si="33"/>
        <v>5.6698662899999999</v>
      </c>
    </row>
    <row r="1244" spans="1:11">
      <c r="A1244" s="87" t="s">
        <v>1917</v>
      </c>
      <c r="B1244" s="87" t="s">
        <v>1973</v>
      </c>
      <c r="C1244" s="278" t="s">
        <v>1974</v>
      </c>
      <c r="D1244" s="89" t="s">
        <v>167</v>
      </c>
      <c r="E1244" s="88">
        <f>0.698219/4</f>
        <v>0.17455475000000001</v>
      </c>
      <c r="F1244" s="89">
        <v>31.47</v>
      </c>
      <c r="G1244" s="89">
        <f t="shared" si="33"/>
        <v>5.4932379825000002</v>
      </c>
    </row>
    <row r="1245" spans="1:11" ht="24">
      <c r="A1245" s="87" t="s">
        <v>1917</v>
      </c>
      <c r="B1245" s="87" t="s">
        <v>1975</v>
      </c>
      <c r="C1245" s="278" t="s">
        <v>1976</v>
      </c>
      <c r="D1245" s="89" t="s">
        <v>180</v>
      </c>
      <c r="E1245" s="88">
        <f>0.011172/4</f>
        <v>2.7929999999999999E-3</v>
      </c>
      <c r="F1245" s="89">
        <v>1499.2</v>
      </c>
      <c r="G1245" s="89">
        <f t="shared" si="33"/>
        <v>4.1872655999999999</v>
      </c>
    </row>
    <row r="1246" spans="1:11">
      <c r="A1246" s="87" t="s">
        <v>1917</v>
      </c>
      <c r="B1246" s="87" t="s">
        <v>1977</v>
      </c>
      <c r="C1246" s="278" t="s">
        <v>1978</v>
      </c>
      <c r="D1246" s="89" t="s">
        <v>180</v>
      </c>
      <c r="E1246" s="88">
        <f>0.044688/4</f>
        <v>1.1172E-2</v>
      </c>
      <c r="F1246" s="89">
        <v>99.53</v>
      </c>
      <c r="G1246" s="89">
        <f t="shared" si="33"/>
        <v>1.11194916</v>
      </c>
    </row>
    <row r="1247" spans="1:11">
      <c r="A1247" s="87" t="s">
        <v>1917</v>
      </c>
      <c r="B1247" s="87" t="s">
        <v>1979</v>
      </c>
      <c r="C1247" s="278" t="s">
        <v>1969</v>
      </c>
      <c r="D1247" s="89" t="s">
        <v>167</v>
      </c>
      <c r="E1247" s="88">
        <f>0.018/4</f>
        <v>4.4999999999999997E-3</v>
      </c>
      <c r="F1247" s="89">
        <v>46.24</v>
      </c>
      <c r="G1247" s="89">
        <f t="shared" si="33"/>
        <v>0.20807999999999999</v>
      </c>
    </row>
    <row r="1248" spans="1:11" ht="24">
      <c r="A1248" s="87" t="s">
        <v>1917</v>
      </c>
      <c r="B1248" s="87" t="str">
        <f>'Mapa Cotações'!A199</f>
        <v>COT-0206</v>
      </c>
      <c r="C1248" s="278" t="str">
        <f>'Mapa Cotações'!B199</f>
        <v>GUARNIÇÃO DE BORRACHA PARA VEDAÇÃO DE VÁLVULA DE 3"</v>
      </c>
      <c r="D1248" s="89" t="s">
        <v>167</v>
      </c>
      <c r="E1248" s="88">
        <v>2</v>
      </c>
      <c r="F1248" s="89">
        <f>'Mapa Cotações'!M199</f>
        <v>26.67</v>
      </c>
      <c r="G1248" s="89">
        <f t="shared" si="33"/>
        <v>53.34</v>
      </c>
    </row>
    <row r="1249" spans="1:7" ht="36">
      <c r="A1249" s="87" t="s">
        <v>1917</v>
      </c>
      <c r="B1249" s="87" t="s">
        <v>2002</v>
      </c>
      <c r="C1249" s="278" t="s">
        <v>2003</v>
      </c>
      <c r="D1249" s="89" t="s">
        <v>180</v>
      </c>
      <c r="E1249" s="88">
        <v>9.5000000000000001E-2</v>
      </c>
      <c r="F1249" s="89">
        <v>59.48348</v>
      </c>
      <c r="G1249" s="89">
        <f t="shared" si="33"/>
        <v>5.6509305999999997</v>
      </c>
    </row>
    <row r="1250" spans="1:7">
      <c r="A1250" s="493"/>
      <c r="B1250" s="494"/>
      <c r="C1250" s="495"/>
      <c r="D1250" s="496"/>
      <c r="E1250" s="497"/>
      <c r="F1250" s="499"/>
      <c r="G1250" s="89"/>
    </row>
    <row r="1251" spans="1:7">
      <c r="A1251" s="832" t="s">
        <v>1908</v>
      </c>
      <c r="B1251" s="833"/>
      <c r="C1251" s="833"/>
      <c r="D1251" s="833"/>
      <c r="E1251" s="833"/>
      <c r="F1251" s="834"/>
      <c r="G1251" s="90">
        <f>SUM(G1240:G1250)</f>
        <v>807.29775063250008</v>
      </c>
    </row>
    <row r="1252" spans="1:7">
      <c r="A1252" s="91"/>
      <c r="B1252" s="92"/>
      <c r="C1252" s="161"/>
      <c r="D1252" s="93"/>
      <c r="E1252" s="94"/>
      <c r="F1252" s="95"/>
      <c r="G1252" s="96"/>
    </row>
    <row r="1253" spans="1:7">
      <c r="A1253" s="835" t="s">
        <v>1909</v>
      </c>
      <c r="B1253" s="836"/>
      <c r="C1253" s="836"/>
      <c r="D1253" s="836"/>
      <c r="E1253" s="836"/>
      <c r="F1253" s="836"/>
      <c r="G1253" s="837"/>
    </row>
    <row r="1254" spans="1:7">
      <c r="A1254" s="84" t="s">
        <v>1903</v>
      </c>
      <c r="B1254" s="84" t="s">
        <v>131</v>
      </c>
      <c r="C1254" s="160" t="s">
        <v>1904</v>
      </c>
      <c r="D1254" s="84" t="s">
        <v>167</v>
      </c>
      <c r="E1254" s="85" t="s">
        <v>1905</v>
      </c>
      <c r="F1254" s="86" t="s">
        <v>1906</v>
      </c>
      <c r="G1254" s="86" t="s">
        <v>1907</v>
      </c>
    </row>
    <row r="1255" spans="1:7" ht="24">
      <c r="A1255" s="87" t="s">
        <v>2</v>
      </c>
      <c r="B1255" s="87">
        <v>88248</v>
      </c>
      <c r="C1255" s="278" t="s">
        <v>1947</v>
      </c>
      <c r="D1255" s="89" t="s">
        <v>137</v>
      </c>
      <c r="E1255" s="88">
        <v>0.44550000000000001</v>
      </c>
      <c r="F1255" s="89">
        <v>21.45</v>
      </c>
      <c r="G1255" s="89">
        <v>9.5559750000000001</v>
      </c>
    </row>
    <row r="1256" spans="1:7" ht="24">
      <c r="A1256" s="87" t="s">
        <v>2</v>
      </c>
      <c r="B1256" s="87">
        <v>88267</v>
      </c>
      <c r="C1256" s="278" t="s">
        <v>1949</v>
      </c>
      <c r="D1256" s="89" t="s">
        <v>137</v>
      </c>
      <c r="E1256" s="88">
        <v>0.44550000000000001</v>
      </c>
      <c r="F1256" s="89">
        <v>26.33</v>
      </c>
      <c r="G1256" s="89">
        <v>11.730015</v>
      </c>
    </row>
    <row r="1257" spans="1:7">
      <c r="A1257" s="832" t="s">
        <v>1908</v>
      </c>
      <c r="B1257" s="833"/>
      <c r="C1257" s="833"/>
      <c r="D1257" s="833"/>
      <c r="E1257" s="833"/>
      <c r="F1257" s="834"/>
      <c r="G1257" s="90">
        <v>21.285989999999998</v>
      </c>
    </row>
    <row r="1258" spans="1:7">
      <c r="A1258" s="91"/>
      <c r="B1258" s="92"/>
      <c r="C1258" s="162"/>
      <c r="D1258" s="92"/>
      <c r="E1258" s="97"/>
      <c r="F1258" s="98"/>
      <c r="G1258" s="96"/>
    </row>
    <row r="1259" spans="1:7">
      <c r="A1259" s="835" t="s">
        <v>1912</v>
      </c>
      <c r="B1259" s="836"/>
      <c r="C1259" s="836"/>
      <c r="D1259" s="836"/>
      <c r="E1259" s="836"/>
      <c r="F1259" s="836"/>
      <c r="G1259" s="837"/>
    </row>
    <row r="1260" spans="1:7">
      <c r="A1260" s="84" t="s">
        <v>1903</v>
      </c>
      <c r="B1260" s="84" t="s">
        <v>131</v>
      </c>
      <c r="C1260" s="160" t="s">
        <v>1904</v>
      </c>
      <c r="D1260" s="84" t="s">
        <v>167</v>
      </c>
      <c r="E1260" s="85" t="s">
        <v>1905</v>
      </c>
      <c r="F1260" s="86" t="s">
        <v>1906</v>
      </c>
      <c r="G1260" s="86" t="s">
        <v>1907</v>
      </c>
    </row>
    <row r="1261" spans="1:7">
      <c r="A1261" s="87"/>
      <c r="B1261" s="87"/>
      <c r="C1261" s="278" t="s">
        <v>34</v>
      </c>
      <c r="D1261" s="89" t="s">
        <v>34</v>
      </c>
      <c r="E1261" s="88"/>
      <c r="F1261" s="89" t="s">
        <v>34</v>
      </c>
      <c r="G1261" s="89" t="s">
        <v>34</v>
      </c>
    </row>
    <row r="1262" spans="1:7">
      <c r="A1262" s="87"/>
      <c r="B1262" s="87"/>
      <c r="C1262" s="278" t="s">
        <v>34</v>
      </c>
      <c r="D1262" s="89" t="s">
        <v>34</v>
      </c>
      <c r="E1262" s="88"/>
      <c r="F1262" s="89" t="s">
        <v>34</v>
      </c>
      <c r="G1262" s="89" t="s">
        <v>34</v>
      </c>
    </row>
    <row r="1263" spans="1:7">
      <c r="A1263" s="832" t="s">
        <v>1908</v>
      </c>
      <c r="B1263" s="833" t="s">
        <v>1908</v>
      </c>
      <c r="C1263" s="833"/>
      <c r="D1263" s="833"/>
      <c r="E1263" s="833"/>
      <c r="F1263" s="834"/>
      <c r="G1263" s="90" t="s">
        <v>34</v>
      </c>
    </row>
    <row r="1264" spans="1:7" ht="13.5" thickBot="1">
      <c r="A1264" s="91"/>
      <c r="B1264" s="92"/>
      <c r="C1264" s="163"/>
      <c r="D1264" s="99"/>
      <c r="E1264" s="100"/>
      <c r="F1264" s="101"/>
      <c r="G1264" s="102"/>
    </row>
    <row r="1265" spans="1:11" ht="13.5" thickBot="1">
      <c r="A1265" s="838" t="s">
        <v>1259</v>
      </c>
      <c r="B1265" s="839"/>
      <c r="C1265" s="839"/>
      <c r="D1265" s="839"/>
      <c r="E1265" s="839"/>
      <c r="F1265" s="840"/>
      <c r="G1265" s="103">
        <f>SUM(G1263,G1257,G1251)</f>
        <v>828.58374063250005</v>
      </c>
    </row>
    <row r="1268" spans="1:11">
      <c r="A1268" s="237" t="s">
        <v>131</v>
      </c>
      <c r="B1268" s="190" t="s">
        <v>27</v>
      </c>
      <c r="C1268" s="841" t="s">
        <v>1281</v>
      </c>
      <c r="D1268" s="841"/>
      <c r="E1268" s="841"/>
      <c r="F1268" s="841"/>
      <c r="G1268" s="81" t="s">
        <v>127</v>
      </c>
      <c r="I1268" s="480" t="s">
        <v>1901</v>
      </c>
      <c r="J1268" s="80"/>
      <c r="K1268" s="80"/>
    </row>
    <row r="1269" spans="1:11" ht="50.1" customHeight="1">
      <c r="A1269" s="179" t="s">
        <v>486</v>
      </c>
      <c r="B1269" s="82"/>
      <c r="C1269" s="830" t="s">
        <v>487</v>
      </c>
      <c r="D1269" s="831"/>
      <c r="E1269" s="831"/>
      <c r="F1269" s="186">
        <f>G1297</f>
        <v>7528.1618782533342</v>
      </c>
      <c r="G1269" s="83" t="s">
        <v>167</v>
      </c>
      <c r="I1269" s="481"/>
      <c r="J1269" s="272"/>
      <c r="K1269" s="272"/>
    </row>
    <row r="1270" spans="1:11">
      <c r="A1270" s="818" t="s">
        <v>1902</v>
      </c>
      <c r="B1270" s="819"/>
      <c r="C1270" s="819"/>
      <c r="D1270" s="819"/>
      <c r="E1270" s="819"/>
      <c r="F1270" s="819"/>
      <c r="G1270" s="820"/>
    </row>
    <row r="1271" spans="1:11">
      <c r="A1271" s="84" t="s">
        <v>1903</v>
      </c>
      <c r="B1271" s="84" t="s">
        <v>131</v>
      </c>
      <c r="C1271" s="160" t="s">
        <v>1904</v>
      </c>
      <c r="D1271" s="84" t="s">
        <v>167</v>
      </c>
      <c r="E1271" s="85" t="s">
        <v>1905</v>
      </c>
      <c r="F1271" s="86" t="s">
        <v>1906</v>
      </c>
      <c r="G1271" s="86" t="s">
        <v>1907</v>
      </c>
    </row>
    <row r="1272" spans="1:11" ht="36">
      <c r="A1272" s="87" t="s">
        <v>1917</v>
      </c>
      <c r="B1272" s="87" t="s">
        <v>2004</v>
      </c>
      <c r="C1272" s="278" t="s">
        <v>487</v>
      </c>
      <c r="D1272" s="89" t="s">
        <v>167</v>
      </c>
      <c r="E1272" s="88">
        <v>1</v>
      </c>
      <c r="F1272" s="89">
        <f>'Mapa Cotações'!M38</f>
        <v>7214.03</v>
      </c>
      <c r="G1272" s="89">
        <f t="shared" ref="G1272:G1281" si="34">F1272*E1272</f>
        <v>7214.03</v>
      </c>
    </row>
    <row r="1273" spans="1:11">
      <c r="A1273" s="87" t="s">
        <v>2</v>
      </c>
      <c r="B1273" s="87">
        <v>3148</v>
      </c>
      <c r="C1273" s="278" t="s">
        <v>1956</v>
      </c>
      <c r="D1273" s="89" t="s">
        <v>1930</v>
      </c>
      <c r="E1273" s="88">
        <v>0.13200000000000001</v>
      </c>
      <c r="F1273" s="89">
        <v>12.76</v>
      </c>
      <c r="G1273" s="89">
        <f t="shared" si="34"/>
        <v>1.68432</v>
      </c>
    </row>
    <row r="1274" spans="1:11" ht="36">
      <c r="A1274" s="87" t="s">
        <v>1917</v>
      </c>
      <c r="B1274" s="87" t="s">
        <v>2005</v>
      </c>
      <c r="C1274" s="278" t="s">
        <v>2006</v>
      </c>
      <c r="D1274" s="89" t="s">
        <v>180</v>
      </c>
      <c r="E1274" s="88">
        <f>1.039/3</f>
        <v>0.34633333333333333</v>
      </c>
      <c r="F1274" s="89">
        <f>'Mapa Cotações'!M182</f>
        <v>128.32</v>
      </c>
      <c r="G1274" s="89">
        <f t="shared" si="34"/>
        <v>44.441493333333327</v>
      </c>
    </row>
    <row r="1275" spans="1:11">
      <c r="A1275" s="87" t="s">
        <v>1917</v>
      </c>
      <c r="B1275" s="87" t="s">
        <v>1968</v>
      </c>
      <c r="C1275" s="278" t="s">
        <v>1972</v>
      </c>
      <c r="D1275" s="89" t="s">
        <v>167</v>
      </c>
      <c r="E1275" s="88">
        <f>0.111715/3</f>
        <v>3.7238333333333332E-2</v>
      </c>
      <c r="F1275" s="89">
        <v>406.02</v>
      </c>
      <c r="G1275" s="89">
        <f t="shared" si="34"/>
        <v>15.119508099999999</v>
      </c>
    </row>
    <row r="1276" spans="1:11">
      <c r="A1276" s="87" t="s">
        <v>1917</v>
      </c>
      <c r="B1276" s="87" t="s">
        <v>1973</v>
      </c>
      <c r="C1276" s="278" t="s">
        <v>1974</v>
      </c>
      <c r="D1276" s="89" t="s">
        <v>167</v>
      </c>
      <c r="E1276" s="88">
        <f>1.396438/3</f>
        <v>0.46547933333333336</v>
      </c>
      <c r="F1276" s="89">
        <v>31.47</v>
      </c>
      <c r="G1276" s="89">
        <f t="shared" si="34"/>
        <v>14.648634620000001</v>
      </c>
    </row>
    <row r="1277" spans="1:11" ht="24">
      <c r="A1277" s="87" t="s">
        <v>1917</v>
      </c>
      <c r="B1277" s="87" t="s">
        <v>1975</v>
      </c>
      <c r="C1277" s="278" t="s">
        <v>1976</v>
      </c>
      <c r="D1277" s="89" t="s">
        <v>180</v>
      </c>
      <c r="E1277" s="88">
        <f>0.022343/3</f>
        <v>7.4476666666666658E-3</v>
      </c>
      <c r="F1277" s="89">
        <v>1499.2</v>
      </c>
      <c r="G1277" s="89">
        <f t="shared" si="34"/>
        <v>11.165541866666667</v>
      </c>
    </row>
    <row r="1278" spans="1:11">
      <c r="A1278" s="87" t="s">
        <v>1917</v>
      </c>
      <c r="B1278" s="87" t="s">
        <v>1977</v>
      </c>
      <c r="C1278" s="278" t="s">
        <v>1978</v>
      </c>
      <c r="D1278" s="89" t="s">
        <v>180</v>
      </c>
      <c r="E1278" s="88">
        <f>0.0797/3</f>
        <v>2.6566666666666666E-2</v>
      </c>
      <c r="F1278" s="89">
        <v>99.53</v>
      </c>
      <c r="G1278" s="89">
        <f t="shared" si="34"/>
        <v>2.6441803333333334</v>
      </c>
    </row>
    <row r="1279" spans="1:11">
      <c r="A1279" s="87" t="s">
        <v>1917</v>
      </c>
      <c r="B1279" s="87" t="s">
        <v>1979</v>
      </c>
      <c r="C1279" s="278" t="s">
        <v>1969</v>
      </c>
      <c r="D1279" s="89" t="s">
        <v>167</v>
      </c>
      <c r="E1279" s="88">
        <f>0.03/3</f>
        <v>0.01</v>
      </c>
      <c r="F1279" s="89">
        <v>46.24</v>
      </c>
      <c r="G1279" s="89">
        <f t="shared" si="34"/>
        <v>0.46240000000000003</v>
      </c>
    </row>
    <row r="1280" spans="1:11" ht="22.5" customHeight="1">
      <c r="A1280" s="87" t="s">
        <v>1917</v>
      </c>
      <c r="B1280" s="87" t="str">
        <f>'Mapa Cotações'!A194</f>
        <v>COT-0201</v>
      </c>
      <c r="C1280" s="278" t="str">
        <f>'Mapa Cotações'!B194</f>
        <v>GUARNIÇÃO DE BORRACHA PARA VEDAÇÃO DE VÁLVULA DE 10"</v>
      </c>
      <c r="D1280" s="89" t="s">
        <v>167</v>
      </c>
      <c r="E1280" s="88">
        <v>2</v>
      </c>
      <c r="F1280" s="89">
        <f>'Mapa Cotações'!M194</f>
        <v>70</v>
      </c>
      <c r="G1280" s="89">
        <f t="shared" si="34"/>
        <v>140</v>
      </c>
    </row>
    <row r="1281" spans="1:7" ht="36">
      <c r="A1281" s="87" t="s">
        <v>1917</v>
      </c>
      <c r="B1281" s="87" t="s">
        <v>2007</v>
      </c>
      <c r="C1281" s="278" t="s">
        <v>2008</v>
      </c>
      <c r="D1281" s="89" t="s">
        <v>180</v>
      </c>
      <c r="E1281" s="88">
        <v>0.125</v>
      </c>
      <c r="F1281" s="89">
        <v>104.1</v>
      </c>
      <c r="G1281" s="89">
        <f t="shared" si="34"/>
        <v>13.012499999999999</v>
      </c>
    </row>
    <row r="1282" spans="1:7">
      <c r="A1282" s="493"/>
      <c r="B1282" s="494"/>
      <c r="C1282" s="495"/>
      <c r="D1282" s="496"/>
      <c r="E1282" s="497"/>
      <c r="F1282" s="499"/>
      <c r="G1282" s="89"/>
    </row>
    <row r="1283" spans="1:7">
      <c r="A1283" s="832" t="s">
        <v>1908</v>
      </c>
      <c r="B1283" s="833"/>
      <c r="C1283" s="833"/>
      <c r="D1283" s="833"/>
      <c r="E1283" s="833"/>
      <c r="F1283" s="834"/>
      <c r="G1283" s="90">
        <f>SUM(G1272:I1281)</f>
        <v>7457.2085782533341</v>
      </c>
    </row>
    <row r="1284" spans="1:7">
      <c r="A1284" s="91"/>
      <c r="B1284" s="92"/>
      <c r="C1284" s="161"/>
      <c r="D1284" s="93"/>
      <c r="E1284" s="94"/>
      <c r="F1284" s="95"/>
      <c r="G1284" s="96"/>
    </row>
    <row r="1285" spans="1:7">
      <c r="A1285" s="835" t="s">
        <v>1909</v>
      </c>
      <c r="B1285" s="836"/>
      <c r="C1285" s="836"/>
      <c r="D1285" s="836"/>
      <c r="E1285" s="836"/>
      <c r="F1285" s="836"/>
      <c r="G1285" s="837"/>
    </row>
    <row r="1286" spans="1:7">
      <c r="A1286" s="84" t="s">
        <v>1903</v>
      </c>
      <c r="B1286" s="84" t="s">
        <v>131</v>
      </c>
      <c r="C1286" s="160" t="s">
        <v>1904</v>
      </c>
      <c r="D1286" s="84" t="s">
        <v>167</v>
      </c>
      <c r="E1286" s="85" t="s">
        <v>1905</v>
      </c>
      <c r="F1286" s="86" t="s">
        <v>1906</v>
      </c>
      <c r="G1286" s="86" t="s">
        <v>1907</v>
      </c>
    </row>
    <row r="1287" spans="1:7" ht="24">
      <c r="A1287" s="87" t="s">
        <v>2</v>
      </c>
      <c r="B1287" s="87">
        <v>88248</v>
      </c>
      <c r="C1287" s="278" t="s">
        <v>1947</v>
      </c>
      <c r="D1287" s="89" t="s">
        <v>137</v>
      </c>
      <c r="E1287" s="88">
        <v>1.4849999999999999</v>
      </c>
      <c r="F1287" s="89">
        <v>21.45</v>
      </c>
      <c r="G1287" s="89">
        <v>31.853249999999996</v>
      </c>
    </row>
    <row r="1288" spans="1:7" ht="24">
      <c r="A1288" s="87" t="s">
        <v>2</v>
      </c>
      <c r="B1288" s="87">
        <v>88267</v>
      </c>
      <c r="C1288" s="278" t="s">
        <v>1949</v>
      </c>
      <c r="D1288" s="89" t="s">
        <v>137</v>
      </c>
      <c r="E1288" s="88">
        <v>1.4849999999999999</v>
      </c>
      <c r="F1288" s="89">
        <v>26.33</v>
      </c>
      <c r="G1288" s="89">
        <v>39.100049999999996</v>
      </c>
    </row>
    <row r="1289" spans="1:7">
      <c r="A1289" s="832" t="s">
        <v>1908</v>
      </c>
      <c r="B1289" s="833"/>
      <c r="C1289" s="833"/>
      <c r="D1289" s="833"/>
      <c r="E1289" s="833"/>
      <c r="F1289" s="834"/>
      <c r="G1289" s="90">
        <v>70.953299999999984</v>
      </c>
    </row>
    <row r="1290" spans="1:7">
      <c r="A1290" s="91"/>
      <c r="B1290" s="92"/>
      <c r="C1290" s="162"/>
      <c r="D1290" s="92"/>
      <c r="E1290" s="97"/>
      <c r="F1290" s="98"/>
      <c r="G1290" s="96"/>
    </row>
    <row r="1291" spans="1:7">
      <c r="A1291" s="835" t="s">
        <v>1912</v>
      </c>
      <c r="B1291" s="836"/>
      <c r="C1291" s="836"/>
      <c r="D1291" s="836"/>
      <c r="E1291" s="836"/>
      <c r="F1291" s="836"/>
      <c r="G1291" s="837"/>
    </row>
    <row r="1292" spans="1:7">
      <c r="A1292" s="84" t="s">
        <v>1903</v>
      </c>
      <c r="B1292" s="84" t="s">
        <v>131</v>
      </c>
      <c r="C1292" s="160" t="s">
        <v>1904</v>
      </c>
      <c r="D1292" s="84" t="s">
        <v>167</v>
      </c>
      <c r="E1292" s="85" t="s">
        <v>1905</v>
      </c>
      <c r="F1292" s="86" t="s">
        <v>1906</v>
      </c>
      <c r="G1292" s="86" t="s">
        <v>1907</v>
      </c>
    </row>
    <row r="1293" spans="1:7">
      <c r="A1293" s="87"/>
      <c r="B1293" s="87"/>
      <c r="C1293" s="278" t="s">
        <v>34</v>
      </c>
      <c r="D1293" s="89" t="s">
        <v>34</v>
      </c>
      <c r="E1293" s="88"/>
      <c r="F1293" s="89" t="s">
        <v>34</v>
      </c>
      <c r="G1293" s="89" t="s">
        <v>34</v>
      </c>
    </row>
    <row r="1294" spans="1:7">
      <c r="A1294" s="87"/>
      <c r="B1294" s="87"/>
      <c r="C1294" s="278" t="s">
        <v>34</v>
      </c>
      <c r="D1294" s="89" t="s">
        <v>34</v>
      </c>
      <c r="E1294" s="88"/>
      <c r="F1294" s="89" t="s">
        <v>34</v>
      </c>
      <c r="G1294" s="89" t="s">
        <v>34</v>
      </c>
    </row>
    <row r="1295" spans="1:7">
      <c r="A1295" s="832" t="s">
        <v>1908</v>
      </c>
      <c r="B1295" s="833" t="s">
        <v>1908</v>
      </c>
      <c r="C1295" s="833"/>
      <c r="D1295" s="833"/>
      <c r="E1295" s="833"/>
      <c r="F1295" s="834"/>
      <c r="G1295" s="90" t="s">
        <v>34</v>
      </c>
    </row>
    <row r="1296" spans="1:7" ht="13.5" thickBot="1">
      <c r="A1296" s="91"/>
      <c r="B1296" s="92"/>
      <c r="C1296" s="163"/>
      <c r="D1296" s="99"/>
      <c r="E1296" s="100"/>
      <c r="F1296" s="101"/>
      <c r="G1296" s="102"/>
    </row>
    <row r="1297" spans="1:11" ht="13.5" thickBot="1">
      <c r="A1297" s="838" t="s">
        <v>1259</v>
      </c>
      <c r="B1297" s="839"/>
      <c r="C1297" s="839"/>
      <c r="D1297" s="839"/>
      <c r="E1297" s="839"/>
      <c r="F1297" s="840"/>
      <c r="G1297" s="103">
        <f>SUM(G1295,G1289,G1283)</f>
        <v>7528.1618782533342</v>
      </c>
    </row>
    <row r="1300" spans="1:11">
      <c r="A1300" s="237" t="s">
        <v>131</v>
      </c>
      <c r="B1300" s="190" t="s">
        <v>27</v>
      </c>
      <c r="C1300" s="841" t="s">
        <v>1281</v>
      </c>
      <c r="D1300" s="841"/>
      <c r="E1300" s="841"/>
      <c r="F1300" s="841"/>
      <c r="G1300" s="81" t="s">
        <v>127</v>
      </c>
      <c r="I1300" s="480" t="s">
        <v>1901</v>
      </c>
      <c r="J1300" s="80"/>
      <c r="K1300" s="80"/>
    </row>
    <row r="1301" spans="1:11" ht="50.1" customHeight="1">
      <c r="A1301" s="179" t="s">
        <v>489</v>
      </c>
      <c r="B1301" s="82"/>
      <c r="C1301" s="830" t="s">
        <v>490</v>
      </c>
      <c r="D1301" s="831"/>
      <c r="E1301" s="831"/>
      <c r="F1301" s="186">
        <f>G1330</f>
        <v>5239.4925788433338</v>
      </c>
      <c r="G1301" s="83" t="s">
        <v>167</v>
      </c>
      <c r="I1301" s="481"/>
      <c r="J1301" s="272"/>
      <c r="K1301" s="272"/>
    </row>
    <row r="1302" spans="1:11">
      <c r="A1302" s="818" t="s">
        <v>1902</v>
      </c>
      <c r="B1302" s="819"/>
      <c r="C1302" s="819"/>
      <c r="D1302" s="819"/>
      <c r="E1302" s="819"/>
      <c r="F1302" s="819"/>
      <c r="G1302" s="820"/>
    </row>
    <row r="1303" spans="1:11">
      <c r="A1303" s="84" t="s">
        <v>1903</v>
      </c>
      <c r="B1303" s="84" t="s">
        <v>131</v>
      </c>
      <c r="C1303" s="160" t="s">
        <v>1904</v>
      </c>
      <c r="D1303" s="84" t="s">
        <v>167</v>
      </c>
      <c r="E1303" s="85" t="s">
        <v>1905</v>
      </c>
      <c r="F1303" s="86" t="s">
        <v>1906</v>
      </c>
      <c r="G1303" s="86" t="s">
        <v>1907</v>
      </c>
    </row>
    <row r="1304" spans="1:11" ht="36">
      <c r="A1304" s="87" t="s">
        <v>1917</v>
      </c>
      <c r="B1304" s="87" t="s">
        <v>2009</v>
      </c>
      <c r="C1304" s="278" t="s">
        <v>490</v>
      </c>
      <c r="D1304" s="89" t="s">
        <v>167</v>
      </c>
      <c r="E1304" s="88">
        <v>1</v>
      </c>
      <c r="F1304" s="89">
        <f>'Mapa Cotações'!M39</f>
        <v>4999</v>
      </c>
      <c r="G1304" s="89">
        <f t="shared" ref="G1304:G1312" si="35">F1304*E1304</f>
        <v>4999</v>
      </c>
    </row>
    <row r="1305" spans="1:11">
      <c r="A1305" s="87" t="s">
        <v>2</v>
      </c>
      <c r="B1305" s="87">
        <v>3148</v>
      </c>
      <c r="C1305" s="278" t="s">
        <v>1956</v>
      </c>
      <c r="D1305" s="89" t="s">
        <v>1930</v>
      </c>
      <c r="E1305" s="88">
        <v>0.1056</v>
      </c>
      <c r="F1305" s="89">
        <v>12.76</v>
      </c>
      <c r="G1305" s="89">
        <f t="shared" si="35"/>
        <v>1.347456</v>
      </c>
    </row>
    <row r="1306" spans="1:11" ht="36">
      <c r="A1306" s="87" t="s">
        <v>1917</v>
      </c>
      <c r="B1306" s="87" t="s">
        <v>2010</v>
      </c>
      <c r="C1306" s="278" t="s">
        <v>1572</v>
      </c>
      <c r="D1306" s="89" t="s">
        <v>180</v>
      </c>
      <c r="E1306" s="88">
        <f>1.039/3</f>
        <v>0.34633333333333333</v>
      </c>
      <c r="F1306" s="89">
        <f>'Mapa Cotações'!M183</f>
        <v>105</v>
      </c>
      <c r="G1306" s="89">
        <f t="shared" si="35"/>
        <v>36.365000000000002</v>
      </c>
    </row>
    <row r="1307" spans="1:11">
      <c r="A1307" s="87" t="s">
        <v>1917</v>
      </c>
      <c r="B1307" s="87" t="s">
        <v>1968</v>
      </c>
      <c r="C1307" s="278" t="s">
        <v>1972</v>
      </c>
      <c r="D1307" s="89" t="s">
        <v>167</v>
      </c>
      <c r="E1307" s="88">
        <f>0.095756/3</f>
        <v>3.1918666666666665E-2</v>
      </c>
      <c r="F1307" s="89">
        <v>406.02</v>
      </c>
      <c r="G1307" s="89">
        <f t="shared" si="35"/>
        <v>12.959617039999999</v>
      </c>
    </row>
    <row r="1308" spans="1:11">
      <c r="A1308" s="87" t="s">
        <v>1917</v>
      </c>
      <c r="B1308" s="87" t="s">
        <v>1973</v>
      </c>
      <c r="C1308" s="278" t="s">
        <v>1974</v>
      </c>
      <c r="D1308" s="89" t="s">
        <v>167</v>
      </c>
      <c r="E1308" s="88">
        <f>1.196947/3</f>
        <v>0.39898233333333333</v>
      </c>
      <c r="F1308" s="89">
        <v>31.47</v>
      </c>
      <c r="G1308" s="89">
        <f t="shared" si="35"/>
        <v>12.55597403</v>
      </c>
    </row>
    <row r="1309" spans="1:11" ht="24">
      <c r="A1309" s="87" t="s">
        <v>1917</v>
      </c>
      <c r="B1309" s="87" t="s">
        <v>1975</v>
      </c>
      <c r="C1309" s="278" t="s">
        <v>1976</v>
      </c>
      <c r="D1309" s="89" t="s">
        <v>180</v>
      </c>
      <c r="E1309" s="88">
        <f>0.019151/3</f>
        <v>6.3836666666666668E-3</v>
      </c>
      <c r="F1309" s="89">
        <v>1499.2</v>
      </c>
      <c r="G1309" s="89">
        <f t="shared" si="35"/>
        <v>9.5703930666666679</v>
      </c>
    </row>
    <row r="1310" spans="1:11">
      <c r="A1310" s="87" t="s">
        <v>1917</v>
      </c>
      <c r="B1310" s="87" t="s">
        <v>1977</v>
      </c>
      <c r="C1310" s="278" t="s">
        <v>1978</v>
      </c>
      <c r="D1310" s="89" t="s">
        <v>180</v>
      </c>
      <c r="E1310" s="88">
        <f>0.076604/3</f>
        <v>2.5534666666666667E-2</v>
      </c>
      <c r="F1310" s="89">
        <v>99.53</v>
      </c>
      <c r="G1310" s="89">
        <f t="shared" si="35"/>
        <v>2.5414653733333332</v>
      </c>
    </row>
    <row r="1311" spans="1:11">
      <c r="A1311" s="87" t="s">
        <v>1917</v>
      </c>
      <c r="B1311" s="87" t="s">
        <v>1979</v>
      </c>
      <c r="C1311" s="278" t="s">
        <v>1969</v>
      </c>
      <c r="D1311" s="89" t="s">
        <v>167</v>
      </c>
      <c r="E1311" s="88">
        <f>0.025/3</f>
        <v>8.3333333333333332E-3</v>
      </c>
      <c r="F1311" s="89">
        <v>46.24</v>
      </c>
      <c r="G1311" s="89">
        <f t="shared" si="35"/>
        <v>0.38533333333333336</v>
      </c>
    </row>
    <row r="1312" spans="1:11" ht="24">
      <c r="A1312" s="87"/>
      <c r="B1312" s="87" t="str">
        <f>'Mapa Cotações'!A195</f>
        <v>COT-0202</v>
      </c>
      <c r="C1312" s="278" t="str">
        <f>'Mapa Cotações'!B195</f>
        <v>GUARNIÇÃO DE BORRACHA PARA VEDAÇÃO DE VÁLVULA DE 8"</v>
      </c>
      <c r="D1312" s="89" t="s">
        <v>167</v>
      </c>
      <c r="E1312" s="88">
        <v>2</v>
      </c>
      <c r="F1312" s="89">
        <f>'Mapa Cotações'!M195</f>
        <v>50</v>
      </c>
      <c r="G1312" s="89">
        <f t="shared" si="35"/>
        <v>100</v>
      </c>
    </row>
    <row r="1313" spans="1:7" ht="36">
      <c r="A1313" s="87" t="s">
        <v>1917</v>
      </c>
      <c r="B1313" s="87" t="s">
        <v>1996</v>
      </c>
      <c r="C1313" s="278" t="s">
        <v>1997</v>
      </c>
      <c r="D1313" s="89" t="s">
        <v>180</v>
      </c>
      <c r="E1313" s="88">
        <v>0.11</v>
      </c>
      <c r="F1313" s="89">
        <v>72.77</v>
      </c>
      <c r="G1313" s="89">
        <v>8.0046999999999997</v>
      </c>
    </row>
    <row r="1314" spans="1:7">
      <c r="A1314" s="493"/>
      <c r="B1314" s="494"/>
      <c r="C1314" s="495"/>
      <c r="D1314" s="496"/>
      <c r="E1314" s="497"/>
      <c r="F1314" s="499"/>
      <c r="G1314" s="89"/>
    </row>
    <row r="1315" spans="1:7">
      <c r="A1315" s="493"/>
      <c r="B1315" s="494"/>
      <c r="C1315" s="495"/>
      <c r="D1315" s="496"/>
      <c r="E1315" s="497"/>
      <c r="F1315" s="499"/>
      <c r="G1315" s="89"/>
    </row>
    <row r="1316" spans="1:7">
      <c r="A1316" s="832" t="s">
        <v>1908</v>
      </c>
      <c r="B1316" s="833"/>
      <c r="C1316" s="833"/>
      <c r="D1316" s="833"/>
      <c r="E1316" s="833"/>
      <c r="F1316" s="834"/>
      <c r="G1316" s="90">
        <f>SUM(G1304:G1313)</f>
        <v>5182.7299388433339</v>
      </c>
    </row>
    <row r="1317" spans="1:7">
      <c r="A1317" s="91"/>
      <c r="B1317" s="92"/>
      <c r="C1317" s="161"/>
      <c r="D1317" s="93"/>
      <c r="E1317" s="94"/>
      <c r="F1317" s="95"/>
      <c r="G1317" s="96"/>
    </row>
    <row r="1318" spans="1:7">
      <c r="A1318" s="835" t="s">
        <v>1909</v>
      </c>
      <c r="B1318" s="836"/>
      <c r="C1318" s="836"/>
      <c r="D1318" s="836"/>
      <c r="E1318" s="836"/>
      <c r="F1318" s="836"/>
      <c r="G1318" s="837"/>
    </row>
    <row r="1319" spans="1:7">
      <c r="A1319" s="84" t="s">
        <v>1903</v>
      </c>
      <c r="B1319" s="84" t="s">
        <v>131</v>
      </c>
      <c r="C1319" s="160" t="s">
        <v>1904</v>
      </c>
      <c r="D1319" s="84" t="s">
        <v>167</v>
      </c>
      <c r="E1319" s="85" t="s">
        <v>1905</v>
      </c>
      <c r="F1319" s="86" t="s">
        <v>1906</v>
      </c>
      <c r="G1319" s="86" t="s">
        <v>1907</v>
      </c>
    </row>
    <row r="1320" spans="1:7" ht="24">
      <c r="A1320" s="87" t="s">
        <v>2</v>
      </c>
      <c r="B1320" s="87">
        <v>88248</v>
      </c>
      <c r="C1320" s="278" t="s">
        <v>1947</v>
      </c>
      <c r="D1320" s="89" t="s">
        <v>137</v>
      </c>
      <c r="E1320" s="88">
        <v>1.1879999999999999</v>
      </c>
      <c r="F1320" s="89">
        <v>21.45</v>
      </c>
      <c r="G1320" s="89">
        <v>25.482599999999998</v>
      </c>
    </row>
    <row r="1321" spans="1:7" ht="24">
      <c r="A1321" s="87" t="s">
        <v>2</v>
      </c>
      <c r="B1321" s="87">
        <v>88267</v>
      </c>
      <c r="C1321" s="278" t="s">
        <v>1949</v>
      </c>
      <c r="D1321" s="89" t="s">
        <v>137</v>
      </c>
      <c r="E1321" s="88">
        <v>1.1879999999999999</v>
      </c>
      <c r="F1321" s="89">
        <v>26.33</v>
      </c>
      <c r="G1321" s="89">
        <v>31.280039999999996</v>
      </c>
    </row>
    <row r="1322" spans="1:7">
      <c r="A1322" s="832" t="s">
        <v>1908</v>
      </c>
      <c r="B1322" s="833"/>
      <c r="C1322" s="833"/>
      <c r="D1322" s="833"/>
      <c r="E1322" s="833"/>
      <c r="F1322" s="834"/>
      <c r="G1322" s="90">
        <v>56.76263999999999</v>
      </c>
    </row>
    <row r="1323" spans="1:7">
      <c r="A1323" s="91"/>
      <c r="B1323" s="92"/>
      <c r="C1323" s="162"/>
      <c r="D1323" s="92"/>
      <c r="E1323" s="97"/>
      <c r="F1323" s="98"/>
      <c r="G1323" s="96"/>
    </row>
    <row r="1324" spans="1:7">
      <c r="A1324" s="835" t="s">
        <v>1912</v>
      </c>
      <c r="B1324" s="836"/>
      <c r="C1324" s="836"/>
      <c r="D1324" s="836"/>
      <c r="E1324" s="836"/>
      <c r="F1324" s="836"/>
      <c r="G1324" s="837"/>
    </row>
    <row r="1325" spans="1:7">
      <c r="A1325" s="84" t="s">
        <v>1903</v>
      </c>
      <c r="B1325" s="84" t="s">
        <v>131</v>
      </c>
      <c r="C1325" s="160" t="s">
        <v>1904</v>
      </c>
      <c r="D1325" s="84" t="s">
        <v>167</v>
      </c>
      <c r="E1325" s="85" t="s">
        <v>1905</v>
      </c>
      <c r="F1325" s="86" t="s">
        <v>1906</v>
      </c>
      <c r="G1325" s="86" t="s">
        <v>1907</v>
      </c>
    </row>
    <row r="1326" spans="1:7">
      <c r="A1326" s="87"/>
      <c r="B1326" s="87"/>
      <c r="C1326" s="278" t="s">
        <v>34</v>
      </c>
      <c r="D1326" s="89" t="s">
        <v>34</v>
      </c>
      <c r="E1326" s="88"/>
      <c r="F1326" s="89" t="s">
        <v>34</v>
      </c>
      <c r="G1326" s="89" t="s">
        <v>34</v>
      </c>
    </row>
    <row r="1327" spans="1:7">
      <c r="A1327" s="87"/>
      <c r="B1327" s="87"/>
      <c r="C1327" s="278" t="s">
        <v>34</v>
      </c>
      <c r="D1327" s="89" t="s">
        <v>34</v>
      </c>
      <c r="E1327" s="88"/>
      <c r="F1327" s="89" t="s">
        <v>34</v>
      </c>
      <c r="G1327" s="89" t="s">
        <v>34</v>
      </c>
    </row>
    <row r="1328" spans="1:7">
      <c r="A1328" s="832" t="s">
        <v>1908</v>
      </c>
      <c r="B1328" s="833" t="s">
        <v>1908</v>
      </c>
      <c r="C1328" s="833"/>
      <c r="D1328" s="833"/>
      <c r="E1328" s="833"/>
      <c r="F1328" s="834"/>
      <c r="G1328" s="90" t="s">
        <v>34</v>
      </c>
    </row>
    <row r="1329" spans="1:11" ht="13.5" thickBot="1">
      <c r="A1329" s="91"/>
      <c r="B1329" s="92"/>
      <c r="C1329" s="163"/>
      <c r="D1329" s="99"/>
      <c r="E1329" s="100"/>
      <c r="F1329" s="101"/>
      <c r="G1329" s="102"/>
    </row>
    <row r="1330" spans="1:11" ht="13.5" thickBot="1">
      <c r="A1330" s="838" t="s">
        <v>1259</v>
      </c>
      <c r="B1330" s="839"/>
      <c r="C1330" s="839"/>
      <c r="D1330" s="839"/>
      <c r="E1330" s="839"/>
      <c r="F1330" s="840"/>
      <c r="G1330" s="103">
        <f>SUM(G1328,G1322,G1316)</f>
        <v>5239.4925788433338</v>
      </c>
    </row>
    <row r="1333" spans="1:11">
      <c r="A1333" s="237" t="s">
        <v>131</v>
      </c>
      <c r="B1333" s="190" t="s">
        <v>27</v>
      </c>
      <c r="C1333" s="841" t="s">
        <v>1281</v>
      </c>
      <c r="D1333" s="841"/>
      <c r="E1333" s="841"/>
      <c r="F1333" s="841"/>
      <c r="G1333" s="81" t="s">
        <v>127</v>
      </c>
      <c r="I1333" s="480" t="s">
        <v>1901</v>
      </c>
      <c r="J1333" s="80"/>
      <c r="K1333" s="80"/>
    </row>
    <row r="1334" spans="1:11" ht="50.1" customHeight="1">
      <c r="A1334" s="179" t="s">
        <v>492</v>
      </c>
      <c r="B1334" s="82"/>
      <c r="C1334" s="830" t="s">
        <v>493</v>
      </c>
      <c r="D1334" s="831"/>
      <c r="E1334" s="831"/>
      <c r="F1334" s="186">
        <f>G1362</f>
        <v>2472.2067860400011</v>
      </c>
      <c r="G1334" s="83" t="s">
        <v>167</v>
      </c>
      <c r="I1334" s="481"/>
      <c r="J1334" s="272"/>
      <c r="K1334" s="272"/>
    </row>
    <row r="1335" spans="1:11">
      <c r="A1335" s="818" t="s">
        <v>1902</v>
      </c>
      <c r="B1335" s="819"/>
      <c r="C1335" s="819"/>
      <c r="D1335" s="819"/>
      <c r="E1335" s="819"/>
      <c r="F1335" s="819"/>
      <c r="G1335" s="820"/>
    </row>
    <row r="1336" spans="1:11">
      <c r="A1336" s="84" t="s">
        <v>1903</v>
      </c>
      <c r="B1336" s="84" t="s">
        <v>131</v>
      </c>
      <c r="C1336" s="160" t="s">
        <v>1904</v>
      </c>
      <c r="D1336" s="84" t="s">
        <v>167</v>
      </c>
      <c r="E1336" s="85" t="s">
        <v>1905</v>
      </c>
      <c r="F1336" s="86" t="s">
        <v>1906</v>
      </c>
      <c r="G1336" s="86" t="s">
        <v>1907</v>
      </c>
    </row>
    <row r="1337" spans="1:11" ht="36">
      <c r="A1337" s="87" t="s">
        <v>1917</v>
      </c>
      <c r="B1337" s="87" t="s">
        <v>2011</v>
      </c>
      <c r="C1337" s="278" t="s">
        <v>493</v>
      </c>
      <c r="D1337" s="89" t="s">
        <v>167</v>
      </c>
      <c r="E1337" s="88">
        <v>1</v>
      </c>
      <c r="F1337" s="89">
        <f>'Mapa Cotações'!M40</f>
        <v>2300</v>
      </c>
      <c r="G1337" s="89">
        <f t="shared" ref="G1337:G1346" si="36">F1337*E1337</f>
        <v>2300</v>
      </c>
    </row>
    <row r="1338" spans="1:11">
      <c r="A1338" s="87" t="s">
        <v>2</v>
      </c>
      <c r="B1338" s="87">
        <v>3148</v>
      </c>
      <c r="C1338" s="278" t="s">
        <v>1956</v>
      </c>
      <c r="D1338" s="89" t="s">
        <v>1930</v>
      </c>
      <c r="E1338" s="88">
        <v>7.9199999999999993E-2</v>
      </c>
      <c r="F1338" s="89">
        <v>12.76</v>
      </c>
      <c r="G1338" s="89">
        <f t="shared" si="36"/>
        <v>1.0105919999999999</v>
      </c>
    </row>
    <row r="1339" spans="1:11" ht="36">
      <c r="A1339" s="87" t="s">
        <v>1917</v>
      </c>
      <c r="B1339" s="87" t="s">
        <v>2012</v>
      </c>
      <c r="C1339" s="278" t="s">
        <v>2013</v>
      </c>
      <c r="D1339" s="89" t="s">
        <v>180</v>
      </c>
      <c r="E1339" s="88">
        <v>0.2</v>
      </c>
      <c r="F1339" s="89">
        <f>'Mapa Cotações'!M193</f>
        <v>70</v>
      </c>
      <c r="G1339" s="89">
        <f t="shared" si="36"/>
        <v>14</v>
      </c>
    </row>
    <row r="1340" spans="1:11">
      <c r="A1340" s="87" t="s">
        <v>1917</v>
      </c>
      <c r="B1340" s="87" t="s">
        <v>1968</v>
      </c>
      <c r="C1340" s="278" t="s">
        <v>1972</v>
      </c>
      <c r="D1340" s="89" t="s">
        <v>167</v>
      </c>
      <c r="E1340" s="88">
        <v>2.659866666666667E-2</v>
      </c>
      <c r="F1340" s="89">
        <v>406.02</v>
      </c>
      <c r="G1340" s="89">
        <f t="shared" si="36"/>
        <v>10.79959064</v>
      </c>
    </row>
    <row r="1341" spans="1:11">
      <c r="A1341" s="87" t="s">
        <v>1917</v>
      </c>
      <c r="B1341" s="87" t="s">
        <v>1973</v>
      </c>
      <c r="C1341" s="278" t="s">
        <v>1974</v>
      </c>
      <c r="D1341" s="89" t="s">
        <v>167</v>
      </c>
      <c r="E1341" s="88">
        <v>0.33248533333333335</v>
      </c>
      <c r="F1341" s="89">
        <v>31.47</v>
      </c>
      <c r="G1341" s="89">
        <f t="shared" si="36"/>
        <v>10.46331344</v>
      </c>
    </row>
    <row r="1342" spans="1:11" ht="24">
      <c r="A1342" s="87" t="s">
        <v>1917</v>
      </c>
      <c r="B1342" s="87" t="s">
        <v>1975</v>
      </c>
      <c r="C1342" s="278" t="s">
        <v>1976</v>
      </c>
      <c r="D1342" s="89" t="s">
        <v>1981</v>
      </c>
      <c r="E1342" s="88">
        <v>5.319666666666667E-3</v>
      </c>
      <c r="F1342" s="89">
        <v>1499.2</v>
      </c>
      <c r="G1342" s="89">
        <f t="shared" si="36"/>
        <v>7.9752442666666674</v>
      </c>
    </row>
    <row r="1343" spans="1:11">
      <c r="A1343" s="87" t="s">
        <v>1917</v>
      </c>
      <c r="B1343" s="87" t="s">
        <v>1977</v>
      </c>
      <c r="C1343" s="278" t="s">
        <v>1978</v>
      </c>
      <c r="D1343" s="89" t="s">
        <v>180</v>
      </c>
      <c r="E1343" s="88">
        <v>2.1278666666666668E-2</v>
      </c>
      <c r="F1343" s="89">
        <v>99.53</v>
      </c>
      <c r="G1343" s="89">
        <f t="shared" si="36"/>
        <v>2.1178656933333335</v>
      </c>
    </row>
    <row r="1344" spans="1:11">
      <c r="A1344" s="87" t="s">
        <v>1917</v>
      </c>
      <c r="B1344" s="87" t="s">
        <v>1979</v>
      </c>
      <c r="C1344" s="278" t="s">
        <v>1969</v>
      </c>
      <c r="D1344" s="89" t="s">
        <v>167</v>
      </c>
      <c r="E1344" s="88">
        <v>5.0000000000000001E-3</v>
      </c>
      <c r="F1344" s="89">
        <v>46.24</v>
      </c>
      <c r="G1344" s="89">
        <f t="shared" si="36"/>
        <v>0.23120000000000002</v>
      </c>
    </row>
    <row r="1345" spans="1:7" ht="24">
      <c r="A1345" s="87" t="s">
        <v>1917</v>
      </c>
      <c r="B1345" s="87" t="s">
        <v>2014</v>
      </c>
      <c r="C1345" s="278" t="s">
        <v>2015</v>
      </c>
      <c r="D1345" s="89" t="s">
        <v>167</v>
      </c>
      <c r="E1345" s="88">
        <v>2</v>
      </c>
      <c r="F1345" s="89">
        <f>'Mapa Cotações'!M196</f>
        <v>37.880000000000003</v>
      </c>
      <c r="G1345" s="89">
        <f t="shared" si="36"/>
        <v>75.760000000000005</v>
      </c>
    </row>
    <row r="1346" spans="1:7" ht="36">
      <c r="A1346" s="87" t="s">
        <v>1917</v>
      </c>
      <c r="B1346" s="87" t="s">
        <v>1996</v>
      </c>
      <c r="C1346" s="278" t="s">
        <v>1997</v>
      </c>
      <c r="D1346" s="89" t="s">
        <v>180</v>
      </c>
      <c r="E1346" s="88">
        <v>0.1</v>
      </c>
      <c r="F1346" s="89">
        <v>72.77</v>
      </c>
      <c r="G1346" s="89">
        <f t="shared" si="36"/>
        <v>7.2770000000000001</v>
      </c>
    </row>
    <row r="1347" spans="1:7">
      <c r="A1347" s="493"/>
      <c r="B1347" s="494"/>
      <c r="C1347" s="495"/>
      <c r="D1347" s="496"/>
      <c r="E1347" s="497"/>
      <c r="F1347" s="499"/>
      <c r="G1347" s="89"/>
    </row>
    <row r="1348" spans="1:7">
      <c r="A1348" s="832" t="s">
        <v>1908</v>
      </c>
      <c r="B1348" s="833"/>
      <c r="C1348" s="833"/>
      <c r="D1348" s="833"/>
      <c r="E1348" s="833"/>
      <c r="F1348" s="834"/>
      <c r="G1348" s="90">
        <f>SUM(G1337:G1346)</f>
        <v>2429.634806040001</v>
      </c>
    </row>
    <row r="1349" spans="1:7">
      <c r="A1349" s="91"/>
      <c r="B1349" s="92"/>
      <c r="C1349" s="161"/>
      <c r="D1349" s="93"/>
      <c r="E1349" s="94"/>
      <c r="F1349" s="95"/>
      <c r="G1349" s="96"/>
    </row>
    <row r="1350" spans="1:7">
      <c r="A1350" s="835" t="s">
        <v>1909</v>
      </c>
      <c r="B1350" s="836"/>
      <c r="C1350" s="836"/>
      <c r="D1350" s="836"/>
      <c r="E1350" s="836"/>
      <c r="F1350" s="836"/>
      <c r="G1350" s="837"/>
    </row>
    <row r="1351" spans="1:7">
      <c r="A1351" s="84" t="s">
        <v>1903</v>
      </c>
      <c r="B1351" s="84" t="s">
        <v>131</v>
      </c>
      <c r="C1351" s="160" t="s">
        <v>1904</v>
      </c>
      <c r="D1351" s="84" t="s">
        <v>167</v>
      </c>
      <c r="E1351" s="85" t="s">
        <v>1905</v>
      </c>
      <c r="F1351" s="86" t="s">
        <v>1906</v>
      </c>
      <c r="G1351" s="86" t="s">
        <v>1907</v>
      </c>
    </row>
    <row r="1352" spans="1:7" ht="24">
      <c r="A1352" s="87" t="s">
        <v>2</v>
      </c>
      <c r="B1352" s="87">
        <v>88248</v>
      </c>
      <c r="C1352" s="278" t="s">
        <v>1947</v>
      </c>
      <c r="D1352" s="89" t="s">
        <v>137</v>
      </c>
      <c r="E1352" s="88">
        <v>0.89100000000000001</v>
      </c>
      <c r="F1352" s="89">
        <v>21.45</v>
      </c>
      <c r="G1352" s="89">
        <v>19.11195</v>
      </c>
    </row>
    <row r="1353" spans="1:7" ht="24">
      <c r="A1353" s="87" t="s">
        <v>2</v>
      </c>
      <c r="B1353" s="87">
        <v>88267</v>
      </c>
      <c r="C1353" s="278" t="s">
        <v>1949</v>
      </c>
      <c r="D1353" s="89" t="s">
        <v>137</v>
      </c>
      <c r="E1353" s="88">
        <v>0.89100000000000001</v>
      </c>
      <c r="F1353" s="89">
        <v>26.33</v>
      </c>
      <c r="G1353" s="89">
        <v>23.46003</v>
      </c>
    </row>
    <row r="1354" spans="1:7">
      <c r="A1354" s="832" t="s">
        <v>1908</v>
      </c>
      <c r="B1354" s="833"/>
      <c r="C1354" s="833"/>
      <c r="D1354" s="833"/>
      <c r="E1354" s="833"/>
      <c r="F1354" s="834"/>
      <c r="G1354" s="90">
        <v>42.571979999999996</v>
      </c>
    </row>
    <row r="1355" spans="1:7">
      <c r="A1355" s="91"/>
      <c r="B1355" s="92"/>
      <c r="C1355" s="162"/>
      <c r="D1355" s="92"/>
      <c r="E1355" s="97"/>
      <c r="F1355" s="98"/>
      <c r="G1355" s="96"/>
    </row>
    <row r="1356" spans="1:7">
      <c r="A1356" s="835" t="s">
        <v>1912</v>
      </c>
      <c r="B1356" s="836"/>
      <c r="C1356" s="836"/>
      <c r="D1356" s="836"/>
      <c r="E1356" s="836"/>
      <c r="F1356" s="836"/>
      <c r="G1356" s="837"/>
    </row>
    <row r="1357" spans="1:7">
      <c r="A1357" s="84" t="s">
        <v>1903</v>
      </c>
      <c r="B1357" s="84" t="s">
        <v>131</v>
      </c>
      <c r="C1357" s="160" t="s">
        <v>1904</v>
      </c>
      <c r="D1357" s="84" t="s">
        <v>167</v>
      </c>
      <c r="E1357" s="85" t="s">
        <v>1905</v>
      </c>
      <c r="F1357" s="86" t="s">
        <v>1906</v>
      </c>
      <c r="G1357" s="86" t="s">
        <v>1907</v>
      </c>
    </row>
    <row r="1358" spans="1:7">
      <c r="A1358" s="87"/>
      <c r="B1358" s="87"/>
      <c r="C1358" s="278" t="s">
        <v>34</v>
      </c>
      <c r="D1358" s="89" t="s">
        <v>34</v>
      </c>
      <c r="E1358" s="88"/>
      <c r="F1358" s="89" t="s">
        <v>34</v>
      </c>
      <c r="G1358" s="89" t="s">
        <v>34</v>
      </c>
    </row>
    <row r="1359" spans="1:7">
      <c r="A1359" s="87"/>
      <c r="B1359" s="87"/>
      <c r="C1359" s="278" t="s">
        <v>34</v>
      </c>
      <c r="D1359" s="89" t="s">
        <v>34</v>
      </c>
      <c r="E1359" s="88"/>
      <c r="F1359" s="89" t="s">
        <v>34</v>
      </c>
      <c r="G1359" s="89" t="s">
        <v>34</v>
      </c>
    </row>
    <row r="1360" spans="1:7">
      <c r="A1360" s="832" t="s">
        <v>1908</v>
      </c>
      <c r="B1360" s="833" t="s">
        <v>1908</v>
      </c>
      <c r="C1360" s="833"/>
      <c r="D1360" s="833"/>
      <c r="E1360" s="833"/>
      <c r="F1360" s="834"/>
      <c r="G1360" s="90" t="s">
        <v>34</v>
      </c>
    </row>
    <row r="1361" spans="1:11" ht="13.5" thickBot="1">
      <c r="A1361" s="91"/>
      <c r="B1361" s="92"/>
      <c r="C1361" s="163"/>
      <c r="D1361" s="99"/>
      <c r="E1361" s="100"/>
      <c r="F1361" s="101"/>
      <c r="G1361" s="102"/>
    </row>
    <row r="1362" spans="1:11" ht="13.5" thickBot="1">
      <c r="A1362" s="838" t="s">
        <v>1259</v>
      </c>
      <c r="B1362" s="839"/>
      <c r="C1362" s="839"/>
      <c r="D1362" s="839"/>
      <c r="E1362" s="839"/>
      <c r="F1362" s="840"/>
      <c r="G1362" s="103">
        <f>SUM(G1360,G1354,G1348)</f>
        <v>2472.2067860400011</v>
      </c>
    </row>
    <row r="1365" spans="1:11">
      <c r="A1365" s="237" t="s">
        <v>131</v>
      </c>
      <c r="B1365" s="190" t="s">
        <v>27</v>
      </c>
      <c r="C1365" s="841" t="s">
        <v>1281</v>
      </c>
      <c r="D1365" s="841"/>
      <c r="E1365" s="841"/>
      <c r="F1365" s="841"/>
      <c r="G1365" s="81" t="s">
        <v>127</v>
      </c>
      <c r="I1365" s="480" t="s">
        <v>1901</v>
      </c>
      <c r="J1365" s="80"/>
      <c r="K1365" s="80"/>
    </row>
    <row r="1366" spans="1:11" ht="50.1" customHeight="1">
      <c r="A1366" s="179" t="s">
        <v>495</v>
      </c>
      <c r="B1366" s="82"/>
      <c r="C1366" s="830" t="s">
        <v>496</v>
      </c>
      <c r="D1366" s="831"/>
      <c r="E1366" s="831"/>
      <c r="F1366" s="186">
        <f>G1393</f>
        <v>1387.7038891999998</v>
      </c>
      <c r="G1366" s="83" t="s">
        <v>167</v>
      </c>
      <c r="I1366" s="481"/>
      <c r="J1366" s="272"/>
      <c r="K1366" s="272"/>
    </row>
    <row r="1367" spans="1:11">
      <c r="A1367" s="818" t="s">
        <v>1902</v>
      </c>
      <c r="B1367" s="819"/>
      <c r="C1367" s="819"/>
      <c r="D1367" s="819"/>
      <c r="E1367" s="819"/>
      <c r="F1367" s="819"/>
      <c r="G1367" s="820"/>
    </row>
    <row r="1368" spans="1:11">
      <c r="A1368" s="84" t="s">
        <v>1903</v>
      </c>
      <c r="B1368" s="84" t="s">
        <v>131</v>
      </c>
      <c r="C1368" s="160" t="s">
        <v>1904</v>
      </c>
      <c r="D1368" s="84" t="s">
        <v>167</v>
      </c>
      <c r="E1368" s="85" t="s">
        <v>1905</v>
      </c>
      <c r="F1368" s="86" t="s">
        <v>1906</v>
      </c>
      <c r="G1368" s="86" t="s">
        <v>1907</v>
      </c>
    </row>
    <row r="1369" spans="1:11" ht="36">
      <c r="A1369" s="87" t="s">
        <v>1917</v>
      </c>
      <c r="B1369" s="87" t="s">
        <v>2016</v>
      </c>
      <c r="C1369" s="278" t="s">
        <v>496</v>
      </c>
      <c r="D1369" s="89" t="s">
        <v>167</v>
      </c>
      <c r="E1369" s="88">
        <v>1</v>
      </c>
      <c r="F1369" s="89">
        <f>'Mapa Cotações'!M41</f>
        <v>1108.25</v>
      </c>
      <c r="G1369" s="89">
        <f>F1369*E1369</f>
        <v>1108.25</v>
      </c>
    </row>
    <row r="1370" spans="1:11">
      <c r="A1370" s="87" t="s">
        <v>2</v>
      </c>
      <c r="B1370" s="87">
        <v>3148</v>
      </c>
      <c r="C1370" s="278" t="s">
        <v>1956</v>
      </c>
      <c r="D1370" s="89" t="s">
        <v>1930</v>
      </c>
      <c r="E1370" s="88">
        <v>6.6000000000000003E-2</v>
      </c>
      <c r="F1370" s="89">
        <v>12.76</v>
      </c>
      <c r="G1370" s="89">
        <v>0.84216000000000002</v>
      </c>
    </row>
    <row r="1371" spans="1:11" ht="36">
      <c r="A1371" s="87" t="s">
        <v>1917</v>
      </c>
      <c r="B1371" s="87" t="s">
        <v>1999</v>
      </c>
      <c r="C1371" s="278" t="s">
        <v>1575</v>
      </c>
      <c r="D1371" s="89" t="s">
        <v>180</v>
      </c>
      <c r="E1371" s="88">
        <f>1.039/3</f>
        <v>0.34633333333333333</v>
      </c>
      <c r="F1371" s="89">
        <f>'Mapa Cotações'!M184</f>
        <v>63</v>
      </c>
      <c r="G1371" s="89">
        <f>F1371*E1371</f>
        <v>21.818999999999999</v>
      </c>
    </row>
    <row r="1372" spans="1:11">
      <c r="A1372" s="87" t="s">
        <v>1917</v>
      </c>
      <c r="B1372" s="87" t="s">
        <v>1968</v>
      </c>
      <c r="C1372" s="278" t="s">
        <v>1972</v>
      </c>
      <c r="D1372" s="89" t="s">
        <v>167</v>
      </c>
      <c r="E1372" s="88">
        <f>0.071817/3</f>
        <v>2.3939000000000002E-2</v>
      </c>
      <c r="F1372" s="89">
        <v>406.02</v>
      </c>
      <c r="G1372" s="89">
        <v>29.159138340000002</v>
      </c>
    </row>
    <row r="1373" spans="1:11">
      <c r="A1373" s="87" t="s">
        <v>1917</v>
      </c>
      <c r="B1373" s="87" t="s">
        <v>1973</v>
      </c>
      <c r="C1373" s="278" t="s">
        <v>1974</v>
      </c>
      <c r="D1373" s="89" t="s">
        <v>167</v>
      </c>
      <c r="E1373" s="88">
        <f>0.89771/3</f>
        <v>0.29923666666666665</v>
      </c>
      <c r="F1373" s="89">
        <v>31.47</v>
      </c>
      <c r="G1373" s="89">
        <v>28.250933700000001</v>
      </c>
    </row>
    <row r="1374" spans="1:11" ht="24">
      <c r="A1374" s="87" t="s">
        <v>1917</v>
      </c>
      <c r="B1374" s="87" t="s">
        <v>1975</v>
      </c>
      <c r="C1374" s="278" t="s">
        <v>1976</v>
      </c>
      <c r="D1374" s="89" t="s">
        <v>180</v>
      </c>
      <c r="E1374" s="88">
        <f>0.014363/3</f>
        <v>4.7876666666666666E-3</v>
      </c>
      <c r="F1374" s="89">
        <v>1499.2</v>
      </c>
      <c r="G1374" s="89">
        <v>21.533009600000003</v>
      </c>
    </row>
    <row r="1375" spans="1:11">
      <c r="A1375" s="87" t="s">
        <v>1917</v>
      </c>
      <c r="B1375" s="87" t="s">
        <v>1977</v>
      </c>
      <c r="C1375" s="278" t="s">
        <v>1978</v>
      </c>
      <c r="D1375" s="89" t="s">
        <v>180</v>
      </c>
      <c r="E1375" s="88">
        <f>0.057452/3</f>
        <v>1.9150666666666667E-2</v>
      </c>
      <c r="F1375" s="89">
        <v>99.53</v>
      </c>
      <c r="G1375" s="89">
        <v>5.7181975600000001</v>
      </c>
    </row>
    <row r="1376" spans="1:11">
      <c r="A1376" s="87" t="s">
        <v>1917</v>
      </c>
      <c r="B1376" s="87" t="s">
        <v>1979</v>
      </c>
      <c r="C1376" s="278" t="s">
        <v>1969</v>
      </c>
      <c r="D1376" s="89" t="s">
        <v>167</v>
      </c>
      <c r="E1376" s="88">
        <f>0.02/3</f>
        <v>6.6666666666666671E-3</v>
      </c>
      <c r="F1376" s="89">
        <v>46.24</v>
      </c>
      <c r="G1376" s="89">
        <v>0.92480000000000007</v>
      </c>
    </row>
    <row r="1377" spans="1:7" ht="24">
      <c r="A1377" s="87" t="s">
        <v>1917</v>
      </c>
      <c r="B1377" s="87" t="str">
        <f>'Mapa Cotações'!A197</f>
        <v>COT-0204</v>
      </c>
      <c r="C1377" s="278" t="str">
        <f>'Mapa Cotações'!B197</f>
        <v>GUARNIÇÃO DE BORRACHA PARA VEDAÇÃO DE VÁLVULA DE 5"</v>
      </c>
      <c r="D1377" s="89" t="s">
        <v>167</v>
      </c>
      <c r="E1377" s="88">
        <v>2</v>
      </c>
      <c r="F1377" s="89">
        <f>'Mapa Cotações'!M197</f>
        <v>31.48</v>
      </c>
      <c r="G1377" s="89">
        <f>F1377*E1377</f>
        <v>62.96</v>
      </c>
    </row>
    <row r="1378" spans="1:7" ht="36">
      <c r="A1378" s="87" t="s">
        <v>1917</v>
      </c>
      <c r="B1378" s="87" t="s">
        <v>1996</v>
      </c>
      <c r="C1378" s="278" t="s">
        <v>1997</v>
      </c>
      <c r="D1378" s="89" t="s">
        <v>180</v>
      </c>
      <c r="E1378" s="88">
        <v>1</v>
      </c>
      <c r="F1378" s="89">
        <v>72.77</v>
      </c>
      <c r="G1378" s="89">
        <v>72.77</v>
      </c>
    </row>
    <row r="1379" spans="1:7">
      <c r="A1379" s="832" t="s">
        <v>1908</v>
      </c>
      <c r="B1379" s="833"/>
      <c r="C1379" s="833"/>
      <c r="D1379" s="833"/>
      <c r="E1379" s="833"/>
      <c r="F1379" s="834"/>
      <c r="G1379" s="90">
        <f>SUM(G1369:G1378)</f>
        <v>1352.2272391999998</v>
      </c>
    </row>
    <row r="1380" spans="1:7">
      <c r="A1380" s="91"/>
      <c r="B1380" s="92"/>
      <c r="C1380" s="161"/>
      <c r="D1380" s="93"/>
      <c r="E1380" s="94"/>
      <c r="F1380" s="95"/>
      <c r="G1380" s="96"/>
    </row>
    <row r="1381" spans="1:7">
      <c r="A1381" s="835" t="s">
        <v>1909</v>
      </c>
      <c r="B1381" s="836"/>
      <c r="C1381" s="836"/>
      <c r="D1381" s="836"/>
      <c r="E1381" s="836"/>
      <c r="F1381" s="836"/>
      <c r="G1381" s="837"/>
    </row>
    <row r="1382" spans="1:7">
      <c r="A1382" s="84" t="s">
        <v>1903</v>
      </c>
      <c r="B1382" s="84" t="s">
        <v>131</v>
      </c>
      <c r="C1382" s="160" t="s">
        <v>1904</v>
      </c>
      <c r="D1382" s="84" t="s">
        <v>167</v>
      </c>
      <c r="E1382" s="85" t="s">
        <v>1905</v>
      </c>
      <c r="F1382" s="86" t="s">
        <v>1906</v>
      </c>
      <c r="G1382" s="86" t="s">
        <v>1907</v>
      </c>
    </row>
    <row r="1383" spans="1:7" ht="24">
      <c r="A1383" s="87" t="s">
        <v>2</v>
      </c>
      <c r="B1383" s="87">
        <v>88248</v>
      </c>
      <c r="C1383" s="278" t="s">
        <v>1947</v>
      </c>
      <c r="D1383" s="89" t="s">
        <v>137</v>
      </c>
      <c r="E1383" s="88">
        <v>0.74249999999999994</v>
      </c>
      <c r="F1383" s="89">
        <v>21.45</v>
      </c>
      <c r="G1383" s="89">
        <v>15.926624999999998</v>
      </c>
    </row>
    <row r="1384" spans="1:7" ht="24">
      <c r="A1384" s="87" t="s">
        <v>2</v>
      </c>
      <c r="B1384" s="87">
        <v>88267</v>
      </c>
      <c r="C1384" s="278" t="s">
        <v>1949</v>
      </c>
      <c r="D1384" s="89" t="s">
        <v>137</v>
      </c>
      <c r="E1384" s="88">
        <v>0.74249999999999994</v>
      </c>
      <c r="F1384" s="89">
        <v>26.33</v>
      </c>
      <c r="G1384" s="89">
        <v>19.550024999999998</v>
      </c>
    </row>
    <row r="1385" spans="1:7">
      <c r="A1385" s="832" t="s">
        <v>1908</v>
      </c>
      <c r="B1385" s="833"/>
      <c r="C1385" s="833"/>
      <c r="D1385" s="833"/>
      <c r="E1385" s="833"/>
      <c r="F1385" s="834"/>
      <c r="G1385" s="90">
        <v>35.476649999999992</v>
      </c>
    </row>
    <row r="1386" spans="1:7">
      <c r="A1386" s="91"/>
      <c r="B1386" s="92"/>
      <c r="C1386" s="162"/>
      <c r="D1386" s="92"/>
      <c r="E1386" s="97"/>
      <c r="F1386" s="98"/>
      <c r="G1386" s="96"/>
    </row>
    <row r="1387" spans="1:7">
      <c r="A1387" s="835" t="s">
        <v>1912</v>
      </c>
      <c r="B1387" s="836"/>
      <c r="C1387" s="836"/>
      <c r="D1387" s="836"/>
      <c r="E1387" s="836"/>
      <c r="F1387" s="836"/>
      <c r="G1387" s="837"/>
    </row>
    <row r="1388" spans="1:7">
      <c r="A1388" s="84" t="s">
        <v>1903</v>
      </c>
      <c r="B1388" s="84" t="s">
        <v>131</v>
      </c>
      <c r="C1388" s="160" t="s">
        <v>1904</v>
      </c>
      <c r="D1388" s="84" t="s">
        <v>167</v>
      </c>
      <c r="E1388" s="85" t="s">
        <v>1905</v>
      </c>
      <c r="F1388" s="86" t="s">
        <v>1906</v>
      </c>
      <c r="G1388" s="86" t="s">
        <v>1907</v>
      </c>
    </row>
    <row r="1389" spans="1:7">
      <c r="A1389" s="87"/>
      <c r="B1389" s="87"/>
      <c r="C1389" s="278" t="s">
        <v>34</v>
      </c>
      <c r="D1389" s="89" t="s">
        <v>34</v>
      </c>
      <c r="E1389" s="88"/>
      <c r="F1389" s="89" t="s">
        <v>34</v>
      </c>
      <c r="G1389" s="89" t="s">
        <v>34</v>
      </c>
    </row>
    <row r="1390" spans="1:7">
      <c r="A1390" s="87"/>
      <c r="B1390" s="87"/>
      <c r="C1390" s="278" t="s">
        <v>34</v>
      </c>
      <c r="D1390" s="89" t="s">
        <v>34</v>
      </c>
      <c r="E1390" s="88"/>
      <c r="F1390" s="89" t="s">
        <v>34</v>
      </c>
      <c r="G1390" s="89" t="s">
        <v>34</v>
      </c>
    </row>
    <row r="1391" spans="1:7">
      <c r="A1391" s="832" t="s">
        <v>1908</v>
      </c>
      <c r="B1391" s="833" t="s">
        <v>1908</v>
      </c>
      <c r="C1391" s="833"/>
      <c r="D1391" s="833"/>
      <c r="E1391" s="833"/>
      <c r="F1391" s="834"/>
      <c r="G1391" s="90" t="s">
        <v>34</v>
      </c>
    </row>
    <row r="1392" spans="1:7" ht="13.5" thickBot="1">
      <c r="A1392" s="91"/>
      <c r="B1392" s="92"/>
      <c r="C1392" s="163"/>
      <c r="D1392" s="99"/>
      <c r="E1392" s="100"/>
      <c r="F1392" s="101"/>
      <c r="G1392" s="102"/>
    </row>
    <row r="1393" spans="1:11" ht="13.5" thickBot="1">
      <c r="A1393" s="838" t="s">
        <v>1259</v>
      </c>
      <c r="B1393" s="839"/>
      <c r="C1393" s="839"/>
      <c r="D1393" s="839"/>
      <c r="E1393" s="839"/>
      <c r="F1393" s="840"/>
      <c r="G1393" s="103">
        <f>SUM(G1391,G1385,G1379)</f>
        <v>1387.7038891999998</v>
      </c>
    </row>
    <row r="1396" spans="1:11">
      <c r="A1396" s="237" t="s">
        <v>131</v>
      </c>
      <c r="B1396" s="190" t="s">
        <v>27</v>
      </c>
      <c r="C1396" s="841" t="s">
        <v>1281</v>
      </c>
      <c r="D1396" s="841"/>
      <c r="E1396" s="841"/>
      <c r="F1396" s="841"/>
      <c r="G1396" s="81" t="s">
        <v>127</v>
      </c>
      <c r="I1396" s="480" t="s">
        <v>1901</v>
      </c>
      <c r="J1396" s="80"/>
      <c r="K1396" s="80"/>
    </row>
    <row r="1397" spans="1:11" ht="50.1" customHeight="1">
      <c r="A1397" s="179" t="s">
        <v>498</v>
      </c>
      <c r="B1397" s="82"/>
      <c r="C1397" s="830" t="s">
        <v>499</v>
      </c>
      <c r="D1397" s="831"/>
      <c r="E1397" s="831"/>
      <c r="F1397" s="186">
        <f>G1426</f>
        <v>1733.5312140325</v>
      </c>
      <c r="G1397" s="83" t="s">
        <v>167</v>
      </c>
      <c r="I1397" s="481"/>
      <c r="J1397" s="272"/>
      <c r="K1397" s="272"/>
    </row>
    <row r="1398" spans="1:11">
      <c r="A1398" s="818" t="s">
        <v>1902</v>
      </c>
      <c r="B1398" s="819"/>
      <c r="C1398" s="819"/>
      <c r="D1398" s="819"/>
      <c r="E1398" s="819"/>
      <c r="F1398" s="819"/>
      <c r="G1398" s="820"/>
    </row>
    <row r="1399" spans="1:11">
      <c r="A1399" s="84" t="s">
        <v>1903</v>
      </c>
      <c r="B1399" s="84" t="s">
        <v>131</v>
      </c>
      <c r="C1399" s="160" t="s">
        <v>1904</v>
      </c>
      <c r="D1399" s="84" t="s">
        <v>167</v>
      </c>
      <c r="E1399" s="85" t="s">
        <v>1905</v>
      </c>
      <c r="F1399" s="86" t="s">
        <v>1906</v>
      </c>
      <c r="G1399" s="86" t="s">
        <v>1907</v>
      </c>
    </row>
    <row r="1400" spans="1:11" ht="36">
      <c r="A1400" s="87" t="s">
        <v>1917</v>
      </c>
      <c r="B1400" s="87" t="s">
        <v>2017</v>
      </c>
      <c r="C1400" s="278" t="s">
        <v>499</v>
      </c>
      <c r="D1400" s="89" t="s">
        <v>167</v>
      </c>
      <c r="E1400" s="88">
        <v>1</v>
      </c>
      <c r="F1400" s="89">
        <f>'Mapa Cotações'!M42</f>
        <v>1610.9925000000001</v>
      </c>
      <c r="G1400" s="89">
        <f t="shared" ref="G1400:G1409" si="37">F1400*E1400</f>
        <v>1610.9925000000001</v>
      </c>
    </row>
    <row r="1401" spans="1:11">
      <c r="A1401" s="87" t="s">
        <v>2</v>
      </c>
      <c r="B1401" s="87">
        <v>3148</v>
      </c>
      <c r="C1401" s="278" t="s">
        <v>1956</v>
      </c>
      <c r="D1401" s="89" t="s">
        <v>1930</v>
      </c>
      <c r="E1401" s="88">
        <v>5.28E-2</v>
      </c>
      <c r="F1401" s="89">
        <v>12.76</v>
      </c>
      <c r="G1401" s="89">
        <f t="shared" si="37"/>
        <v>0.67372799999999999</v>
      </c>
    </row>
    <row r="1402" spans="1:11" ht="36">
      <c r="A1402" s="87" t="s">
        <v>1917</v>
      </c>
      <c r="B1402" s="87" t="s">
        <v>2018</v>
      </c>
      <c r="C1402" s="278" t="s">
        <v>1578</v>
      </c>
      <c r="D1402" s="89" t="s">
        <v>180</v>
      </c>
      <c r="E1402" s="88">
        <f>1.039/4</f>
        <v>0.25974999999999998</v>
      </c>
      <c r="F1402" s="89">
        <f>'Mapa Cotações'!M185</f>
        <v>48</v>
      </c>
      <c r="G1402" s="89">
        <f t="shared" si="37"/>
        <v>12.468</v>
      </c>
    </row>
    <row r="1403" spans="1:11">
      <c r="A1403" s="87" t="s">
        <v>1917</v>
      </c>
      <c r="B1403" s="87" t="s">
        <v>1968</v>
      </c>
      <c r="C1403" s="278" t="s">
        <v>1972</v>
      </c>
      <c r="D1403" s="89" t="s">
        <v>167</v>
      </c>
      <c r="E1403" s="88">
        <f>0.063837/4</f>
        <v>1.5959250000000001E-2</v>
      </c>
      <c r="F1403" s="89">
        <v>406.02</v>
      </c>
      <c r="G1403" s="89">
        <f t="shared" si="37"/>
        <v>6.4797746850000006</v>
      </c>
    </row>
    <row r="1404" spans="1:11">
      <c r="A1404" s="87" t="s">
        <v>1917</v>
      </c>
      <c r="B1404" s="87" t="s">
        <v>1973</v>
      </c>
      <c r="C1404" s="278" t="s">
        <v>1974</v>
      </c>
      <c r="D1404" s="89" t="s">
        <v>167</v>
      </c>
      <c r="E1404" s="88">
        <f>0.797965/4</f>
        <v>0.19949125000000001</v>
      </c>
      <c r="F1404" s="89">
        <v>31.47</v>
      </c>
      <c r="G1404" s="89">
        <f t="shared" si="37"/>
        <v>6.2779896375000002</v>
      </c>
    </row>
    <row r="1405" spans="1:11" ht="24">
      <c r="A1405" s="87" t="s">
        <v>1917</v>
      </c>
      <c r="B1405" s="87" t="s">
        <v>1975</v>
      </c>
      <c r="C1405" s="278" t="s">
        <v>1976</v>
      </c>
      <c r="D1405" s="89" t="s">
        <v>180</v>
      </c>
      <c r="E1405" s="88">
        <f>0.012767/4</f>
        <v>3.1917500000000001E-3</v>
      </c>
      <c r="F1405" s="89">
        <v>1499.2</v>
      </c>
      <c r="G1405" s="89">
        <f t="shared" si="37"/>
        <v>4.7850716000000002</v>
      </c>
    </row>
    <row r="1406" spans="1:11">
      <c r="A1406" s="87" t="s">
        <v>1917</v>
      </c>
      <c r="B1406" s="87" t="s">
        <v>1977</v>
      </c>
      <c r="C1406" s="278" t="s">
        <v>1978</v>
      </c>
      <c r="D1406" s="89" t="s">
        <v>180</v>
      </c>
      <c r="E1406" s="88">
        <f>0.051068/4</f>
        <v>1.2767000000000001E-2</v>
      </c>
      <c r="F1406" s="89">
        <v>99.53</v>
      </c>
      <c r="G1406" s="89">
        <f t="shared" si="37"/>
        <v>1.27069951</v>
      </c>
    </row>
    <row r="1407" spans="1:11">
      <c r="A1407" s="87" t="s">
        <v>1917</v>
      </c>
      <c r="B1407" s="87" t="s">
        <v>1979</v>
      </c>
      <c r="C1407" s="278" t="s">
        <v>1969</v>
      </c>
      <c r="D1407" s="89" t="s">
        <v>167</v>
      </c>
      <c r="E1407" s="88">
        <f>0.02/4</f>
        <v>5.0000000000000001E-3</v>
      </c>
      <c r="F1407" s="89">
        <v>46.24</v>
      </c>
      <c r="G1407" s="89">
        <f t="shared" si="37"/>
        <v>0.23120000000000002</v>
      </c>
    </row>
    <row r="1408" spans="1:11" ht="24">
      <c r="A1408" s="87" t="s">
        <v>1917</v>
      </c>
      <c r="B1408" s="87" t="str">
        <f>'Mapa Cotações'!A198</f>
        <v>COT-0205</v>
      </c>
      <c r="C1408" s="278" t="str">
        <f>'Mapa Cotações'!B198</f>
        <v>GUARNIÇÃO DE BORRACHA PARA VEDAÇÃO DE VÁLVULA DE 4"</v>
      </c>
      <c r="D1408" s="89" t="s">
        <v>167</v>
      </c>
      <c r="E1408" s="88">
        <v>2</v>
      </c>
      <c r="F1408" s="89">
        <f>'Mapa Cotações'!M198</f>
        <v>28.16</v>
      </c>
      <c r="G1408" s="89">
        <f t="shared" si="37"/>
        <v>56.32</v>
      </c>
    </row>
    <row r="1409" spans="1:7" ht="36">
      <c r="A1409" s="87" t="s">
        <v>1917</v>
      </c>
      <c r="B1409" s="87" t="s">
        <v>2002</v>
      </c>
      <c r="C1409" s="278" t="s">
        <v>2003</v>
      </c>
      <c r="D1409" s="89" t="s">
        <v>180</v>
      </c>
      <c r="E1409" s="88">
        <v>9.5000000000000001E-2</v>
      </c>
      <c r="F1409" s="89">
        <v>59.48348</v>
      </c>
      <c r="G1409" s="89">
        <f t="shared" si="37"/>
        <v>5.6509305999999997</v>
      </c>
    </row>
    <row r="1410" spans="1:7">
      <c r="A1410" s="493"/>
      <c r="B1410" s="494"/>
      <c r="C1410" s="495"/>
      <c r="D1410" s="496"/>
      <c r="E1410" s="497"/>
      <c r="F1410" s="499"/>
      <c r="G1410" s="89"/>
    </row>
    <row r="1411" spans="1:7">
      <c r="A1411" s="493"/>
      <c r="B1411" s="494"/>
      <c r="C1411" s="495"/>
      <c r="D1411" s="496"/>
      <c r="E1411" s="497"/>
      <c r="F1411" s="499"/>
      <c r="G1411" s="89"/>
    </row>
    <row r="1412" spans="1:7">
      <c r="A1412" s="832" t="s">
        <v>1908</v>
      </c>
      <c r="B1412" s="833"/>
      <c r="C1412" s="833"/>
      <c r="D1412" s="833"/>
      <c r="E1412" s="833"/>
      <c r="F1412" s="834"/>
      <c r="G1412" s="90">
        <f>SUM(G1400:I1409)</f>
        <v>1705.1498940325</v>
      </c>
    </row>
    <row r="1413" spans="1:7">
      <c r="A1413" s="91"/>
      <c r="B1413" s="92"/>
      <c r="C1413" s="161"/>
      <c r="D1413" s="93"/>
      <c r="E1413" s="94"/>
      <c r="F1413" s="95"/>
      <c r="G1413" s="96"/>
    </row>
    <row r="1414" spans="1:7">
      <c r="A1414" s="835" t="s">
        <v>1909</v>
      </c>
      <c r="B1414" s="836"/>
      <c r="C1414" s="836"/>
      <c r="D1414" s="836"/>
      <c r="E1414" s="836"/>
      <c r="F1414" s="836"/>
      <c r="G1414" s="837"/>
    </row>
    <row r="1415" spans="1:7">
      <c r="A1415" s="84" t="s">
        <v>1903</v>
      </c>
      <c r="B1415" s="84" t="s">
        <v>131</v>
      </c>
      <c r="C1415" s="160" t="s">
        <v>1904</v>
      </c>
      <c r="D1415" s="84" t="s">
        <v>167</v>
      </c>
      <c r="E1415" s="85" t="s">
        <v>1905</v>
      </c>
      <c r="F1415" s="86" t="s">
        <v>1906</v>
      </c>
      <c r="G1415" s="86" t="s">
        <v>1907</v>
      </c>
    </row>
    <row r="1416" spans="1:7" ht="24">
      <c r="A1416" s="87" t="s">
        <v>2</v>
      </c>
      <c r="B1416" s="87">
        <v>88248</v>
      </c>
      <c r="C1416" s="278" t="s">
        <v>1947</v>
      </c>
      <c r="D1416" s="89" t="s">
        <v>137</v>
      </c>
      <c r="E1416" s="88">
        <v>0.59399999999999997</v>
      </c>
      <c r="F1416" s="89">
        <v>21.45</v>
      </c>
      <c r="G1416" s="89">
        <v>12.741299999999999</v>
      </c>
    </row>
    <row r="1417" spans="1:7" ht="24">
      <c r="A1417" s="87" t="s">
        <v>2</v>
      </c>
      <c r="B1417" s="87">
        <v>88267</v>
      </c>
      <c r="C1417" s="278" t="s">
        <v>1949</v>
      </c>
      <c r="D1417" s="89" t="s">
        <v>137</v>
      </c>
      <c r="E1417" s="88">
        <v>0.59399999999999997</v>
      </c>
      <c r="F1417" s="89">
        <v>26.33</v>
      </c>
      <c r="G1417" s="89">
        <v>15.640019999999998</v>
      </c>
    </row>
    <row r="1418" spans="1:7">
      <c r="A1418" s="832" t="s">
        <v>1908</v>
      </c>
      <c r="B1418" s="833"/>
      <c r="C1418" s="833"/>
      <c r="D1418" s="833"/>
      <c r="E1418" s="833"/>
      <c r="F1418" s="834"/>
      <c r="G1418" s="90">
        <v>28.381319999999995</v>
      </c>
    </row>
    <row r="1419" spans="1:7">
      <c r="A1419" s="91"/>
      <c r="B1419" s="92"/>
      <c r="C1419" s="162"/>
      <c r="D1419" s="92"/>
      <c r="E1419" s="97"/>
      <c r="F1419" s="98"/>
      <c r="G1419" s="96"/>
    </row>
    <row r="1420" spans="1:7">
      <c r="A1420" s="835" t="s">
        <v>1912</v>
      </c>
      <c r="B1420" s="836"/>
      <c r="C1420" s="836"/>
      <c r="D1420" s="836"/>
      <c r="E1420" s="836"/>
      <c r="F1420" s="836"/>
      <c r="G1420" s="837"/>
    </row>
    <row r="1421" spans="1:7">
      <c r="A1421" s="84" t="s">
        <v>1903</v>
      </c>
      <c r="B1421" s="84" t="s">
        <v>131</v>
      </c>
      <c r="C1421" s="160" t="s">
        <v>1904</v>
      </c>
      <c r="D1421" s="84" t="s">
        <v>167</v>
      </c>
      <c r="E1421" s="85" t="s">
        <v>1905</v>
      </c>
      <c r="F1421" s="86" t="s">
        <v>1906</v>
      </c>
      <c r="G1421" s="86" t="s">
        <v>1907</v>
      </c>
    </row>
    <row r="1422" spans="1:7">
      <c r="A1422" s="87"/>
      <c r="B1422" s="87"/>
      <c r="C1422" s="278" t="s">
        <v>34</v>
      </c>
      <c r="D1422" s="89" t="s">
        <v>34</v>
      </c>
      <c r="E1422" s="88"/>
      <c r="F1422" s="89" t="s">
        <v>34</v>
      </c>
      <c r="G1422" s="89" t="s">
        <v>34</v>
      </c>
    </row>
    <row r="1423" spans="1:7">
      <c r="A1423" s="87"/>
      <c r="B1423" s="87"/>
      <c r="C1423" s="278" t="s">
        <v>34</v>
      </c>
      <c r="D1423" s="89" t="s">
        <v>34</v>
      </c>
      <c r="E1423" s="88"/>
      <c r="F1423" s="89" t="s">
        <v>34</v>
      </c>
      <c r="G1423" s="89" t="s">
        <v>34</v>
      </c>
    </row>
    <row r="1424" spans="1:7">
      <c r="A1424" s="832" t="s">
        <v>1908</v>
      </c>
      <c r="B1424" s="833" t="s">
        <v>1908</v>
      </c>
      <c r="C1424" s="833"/>
      <c r="D1424" s="833"/>
      <c r="E1424" s="833"/>
      <c r="F1424" s="834"/>
      <c r="G1424" s="90" t="s">
        <v>34</v>
      </c>
    </row>
    <row r="1425" spans="1:11" ht="13.5" thickBot="1">
      <c r="A1425" s="91"/>
      <c r="B1425" s="92"/>
      <c r="C1425" s="163"/>
      <c r="D1425" s="99"/>
      <c r="E1425" s="100"/>
      <c r="F1425" s="101"/>
      <c r="G1425" s="102"/>
    </row>
    <row r="1426" spans="1:11" ht="13.5" thickBot="1">
      <c r="A1426" s="838" t="s">
        <v>1259</v>
      </c>
      <c r="B1426" s="839"/>
      <c r="C1426" s="839"/>
      <c r="D1426" s="839"/>
      <c r="E1426" s="839"/>
      <c r="F1426" s="840"/>
      <c r="G1426" s="103">
        <f>SUM(G1424,G1418,G1412)</f>
        <v>1733.5312140325</v>
      </c>
    </row>
    <row r="1429" spans="1:11">
      <c r="A1429" s="237" t="s">
        <v>131</v>
      </c>
      <c r="B1429" s="190" t="s">
        <v>27</v>
      </c>
      <c r="C1429" s="841" t="s">
        <v>1281</v>
      </c>
      <c r="D1429" s="841"/>
      <c r="E1429" s="841"/>
      <c r="F1429" s="841"/>
      <c r="G1429" s="81" t="s">
        <v>127</v>
      </c>
      <c r="I1429" s="480" t="s">
        <v>1901</v>
      </c>
      <c r="J1429" s="80"/>
      <c r="K1429" s="80"/>
    </row>
    <row r="1430" spans="1:11" ht="50.1" customHeight="1">
      <c r="A1430" s="179" t="s">
        <v>501</v>
      </c>
      <c r="B1430" s="82"/>
      <c r="C1430" s="830" t="s">
        <v>502</v>
      </c>
      <c r="D1430" s="831"/>
      <c r="E1430" s="831"/>
      <c r="F1430" s="186">
        <f>G1458</f>
        <v>708.95091563250003</v>
      </c>
      <c r="G1430" s="83" t="s">
        <v>167</v>
      </c>
      <c r="I1430" s="481"/>
      <c r="J1430" s="272"/>
      <c r="K1430" s="272"/>
    </row>
    <row r="1431" spans="1:11">
      <c r="A1431" s="818" t="s">
        <v>1902</v>
      </c>
      <c r="B1431" s="819"/>
      <c r="C1431" s="819"/>
      <c r="D1431" s="819"/>
      <c r="E1431" s="819"/>
      <c r="F1431" s="819"/>
      <c r="G1431" s="820"/>
    </row>
    <row r="1432" spans="1:11">
      <c r="A1432" s="84" t="s">
        <v>1903</v>
      </c>
      <c r="B1432" s="84" t="s">
        <v>131</v>
      </c>
      <c r="C1432" s="160" t="s">
        <v>1904</v>
      </c>
      <c r="D1432" s="84" t="s">
        <v>167</v>
      </c>
      <c r="E1432" s="85" t="s">
        <v>1905</v>
      </c>
      <c r="F1432" s="86" t="s">
        <v>1906</v>
      </c>
      <c r="G1432" s="86" t="s">
        <v>1907</v>
      </c>
    </row>
    <row r="1433" spans="1:11" ht="36">
      <c r="A1433" s="87" t="s">
        <v>1917</v>
      </c>
      <c r="B1433" s="87" t="s">
        <v>2019</v>
      </c>
      <c r="C1433" s="278" t="s">
        <v>502</v>
      </c>
      <c r="D1433" s="89" t="s">
        <v>167</v>
      </c>
      <c r="E1433" s="88">
        <v>1</v>
      </c>
      <c r="F1433" s="89">
        <f>'Mapa Cotações'!M43</f>
        <v>604.14737500000001</v>
      </c>
      <c r="G1433" s="89">
        <f t="shared" ref="G1433:G1441" si="38">F1433*E1433</f>
        <v>604.14737500000001</v>
      </c>
    </row>
    <row r="1434" spans="1:11">
      <c r="A1434" s="87" t="s">
        <v>2</v>
      </c>
      <c r="B1434" s="87">
        <v>3148</v>
      </c>
      <c r="C1434" s="278" t="s">
        <v>1956</v>
      </c>
      <c r="D1434" s="89" t="s">
        <v>1930</v>
      </c>
      <c r="E1434" s="88">
        <v>3.9599999999999996E-2</v>
      </c>
      <c r="F1434" s="89">
        <v>12.76</v>
      </c>
      <c r="G1434" s="89">
        <f t="shared" si="38"/>
        <v>0.50529599999999997</v>
      </c>
    </row>
    <row r="1435" spans="1:11" ht="36">
      <c r="A1435" s="87" t="s">
        <v>1917</v>
      </c>
      <c r="B1435" s="87" t="s">
        <v>2001</v>
      </c>
      <c r="C1435" s="278" t="s">
        <v>1581</v>
      </c>
      <c r="D1435" s="89" t="s">
        <v>180</v>
      </c>
      <c r="E1435" s="88">
        <f>1.039/4</f>
        <v>0.25974999999999998</v>
      </c>
      <c r="F1435" s="89">
        <f>'Mapa Cotações'!M187</f>
        <v>28.3</v>
      </c>
      <c r="G1435" s="89">
        <f t="shared" si="38"/>
        <v>7.3509249999999993</v>
      </c>
    </row>
    <row r="1436" spans="1:11">
      <c r="A1436" s="87" t="s">
        <v>1917</v>
      </c>
      <c r="B1436" s="87" t="s">
        <v>1968</v>
      </c>
      <c r="C1436" s="278" t="s">
        <v>1972</v>
      </c>
      <c r="D1436" s="89" t="s">
        <v>167</v>
      </c>
      <c r="E1436" s="88">
        <f>0.055858/4</f>
        <v>1.3964499999999999E-2</v>
      </c>
      <c r="F1436" s="89">
        <v>406.02</v>
      </c>
      <c r="G1436" s="89">
        <f t="shared" si="38"/>
        <v>5.6698662899999999</v>
      </c>
    </row>
    <row r="1437" spans="1:11">
      <c r="A1437" s="87" t="s">
        <v>1917</v>
      </c>
      <c r="B1437" s="87" t="s">
        <v>1973</v>
      </c>
      <c r="C1437" s="278" t="s">
        <v>1974</v>
      </c>
      <c r="D1437" s="89" t="s">
        <v>167</v>
      </c>
      <c r="E1437" s="88">
        <f>0.698219/4</f>
        <v>0.17455475000000001</v>
      </c>
      <c r="F1437" s="89">
        <v>31.47</v>
      </c>
      <c r="G1437" s="89">
        <f t="shared" si="38"/>
        <v>5.4932379825000002</v>
      </c>
    </row>
    <row r="1438" spans="1:11" ht="24">
      <c r="A1438" s="87" t="s">
        <v>1917</v>
      </c>
      <c r="B1438" s="87" t="s">
        <v>1975</v>
      </c>
      <c r="C1438" s="278" t="s">
        <v>1976</v>
      </c>
      <c r="D1438" s="89" t="s">
        <v>180</v>
      </c>
      <c r="E1438" s="88">
        <f>0.011172/4</f>
        <v>2.7929999999999999E-3</v>
      </c>
      <c r="F1438" s="89">
        <v>1499.2</v>
      </c>
      <c r="G1438" s="89">
        <f t="shared" si="38"/>
        <v>4.1872655999999999</v>
      </c>
    </row>
    <row r="1439" spans="1:11">
      <c r="A1439" s="87" t="s">
        <v>1917</v>
      </c>
      <c r="B1439" s="87" t="s">
        <v>1977</v>
      </c>
      <c r="C1439" s="278" t="s">
        <v>1978</v>
      </c>
      <c r="D1439" s="89" t="s">
        <v>180</v>
      </c>
      <c r="E1439" s="88">
        <f>0.044688/4</f>
        <v>1.1172E-2</v>
      </c>
      <c r="F1439" s="89">
        <v>99.53</v>
      </c>
      <c r="G1439" s="89">
        <f t="shared" si="38"/>
        <v>1.11194916</v>
      </c>
    </row>
    <row r="1440" spans="1:11">
      <c r="A1440" s="87" t="s">
        <v>1917</v>
      </c>
      <c r="B1440" s="87" t="s">
        <v>1979</v>
      </c>
      <c r="C1440" s="278" t="s">
        <v>1969</v>
      </c>
      <c r="D1440" s="89" t="s">
        <v>167</v>
      </c>
      <c r="E1440" s="88">
        <f>0.018/4</f>
        <v>4.4999999999999997E-3</v>
      </c>
      <c r="F1440" s="89">
        <v>46.24</v>
      </c>
      <c r="G1440" s="89">
        <f t="shared" si="38"/>
        <v>0.20807999999999999</v>
      </c>
    </row>
    <row r="1441" spans="1:7" ht="24">
      <c r="A1441" s="87" t="s">
        <v>1917</v>
      </c>
      <c r="B1441" s="87" t="str">
        <f>'Mapa Cotações'!A199</f>
        <v>COT-0206</v>
      </c>
      <c r="C1441" s="278" t="str">
        <f>'Mapa Cotações'!B199</f>
        <v>GUARNIÇÃO DE BORRACHA PARA VEDAÇÃO DE VÁLVULA DE 3"</v>
      </c>
      <c r="D1441" s="89" t="s">
        <v>167</v>
      </c>
      <c r="E1441" s="88">
        <v>2</v>
      </c>
      <c r="F1441" s="89">
        <f>'Mapa Cotações'!M199</f>
        <v>26.67</v>
      </c>
      <c r="G1441" s="89">
        <f t="shared" si="38"/>
        <v>53.34</v>
      </c>
    </row>
    <row r="1442" spans="1:7" ht="36">
      <c r="A1442" s="87" t="s">
        <v>1917</v>
      </c>
      <c r="B1442" s="87" t="s">
        <v>2002</v>
      </c>
      <c r="C1442" s="278" t="s">
        <v>2003</v>
      </c>
      <c r="D1442" s="89" t="s">
        <v>180</v>
      </c>
      <c r="E1442" s="88">
        <v>9.5000000000000001E-2</v>
      </c>
      <c r="F1442" s="89">
        <v>59.48348</v>
      </c>
      <c r="G1442" s="89">
        <v>5.6509305999999997</v>
      </c>
    </row>
    <row r="1443" spans="1:7">
      <c r="A1443" s="493"/>
      <c r="B1443" s="494"/>
      <c r="C1443" s="495"/>
      <c r="D1443" s="496"/>
      <c r="E1443" s="497"/>
      <c r="F1443" s="499"/>
      <c r="G1443" s="89"/>
    </row>
    <row r="1444" spans="1:7">
      <c r="A1444" s="832" t="s">
        <v>1908</v>
      </c>
      <c r="B1444" s="833"/>
      <c r="C1444" s="833"/>
      <c r="D1444" s="833"/>
      <c r="E1444" s="833"/>
      <c r="F1444" s="834"/>
      <c r="G1444" s="90">
        <f>SUM(G1433:I1442)</f>
        <v>687.66492563250006</v>
      </c>
    </row>
    <row r="1445" spans="1:7">
      <c r="A1445" s="91"/>
      <c r="B1445" s="92"/>
      <c r="C1445" s="161"/>
      <c r="D1445" s="93"/>
      <c r="E1445" s="94"/>
      <c r="F1445" s="95"/>
      <c r="G1445" s="96"/>
    </row>
    <row r="1446" spans="1:7">
      <c r="A1446" s="835" t="s">
        <v>1909</v>
      </c>
      <c r="B1446" s="836"/>
      <c r="C1446" s="836"/>
      <c r="D1446" s="836"/>
      <c r="E1446" s="836"/>
      <c r="F1446" s="836"/>
      <c r="G1446" s="837"/>
    </row>
    <row r="1447" spans="1:7">
      <c r="A1447" s="84" t="s">
        <v>1903</v>
      </c>
      <c r="B1447" s="84" t="s">
        <v>131</v>
      </c>
      <c r="C1447" s="160" t="s">
        <v>1904</v>
      </c>
      <c r="D1447" s="84" t="s">
        <v>167</v>
      </c>
      <c r="E1447" s="85" t="s">
        <v>1905</v>
      </c>
      <c r="F1447" s="86" t="s">
        <v>1906</v>
      </c>
      <c r="G1447" s="86" t="s">
        <v>1907</v>
      </c>
    </row>
    <row r="1448" spans="1:7" ht="24">
      <c r="A1448" s="87" t="s">
        <v>2</v>
      </c>
      <c r="B1448" s="87">
        <v>88248</v>
      </c>
      <c r="C1448" s="278" t="s">
        <v>1947</v>
      </c>
      <c r="D1448" s="89" t="s">
        <v>137</v>
      </c>
      <c r="E1448" s="88">
        <v>0.44550000000000001</v>
      </c>
      <c r="F1448" s="89">
        <v>21.45</v>
      </c>
      <c r="G1448" s="89">
        <v>9.5559750000000001</v>
      </c>
    </row>
    <row r="1449" spans="1:7" ht="24">
      <c r="A1449" s="87" t="s">
        <v>2</v>
      </c>
      <c r="B1449" s="87">
        <v>88267</v>
      </c>
      <c r="C1449" s="278" t="s">
        <v>1949</v>
      </c>
      <c r="D1449" s="89" t="s">
        <v>137</v>
      </c>
      <c r="E1449" s="88">
        <v>0.44550000000000001</v>
      </c>
      <c r="F1449" s="89">
        <v>26.33</v>
      </c>
      <c r="G1449" s="89">
        <v>11.730015</v>
      </c>
    </row>
    <row r="1450" spans="1:7">
      <c r="A1450" s="832" t="s">
        <v>1908</v>
      </c>
      <c r="B1450" s="833"/>
      <c r="C1450" s="833"/>
      <c r="D1450" s="833"/>
      <c r="E1450" s="833"/>
      <c r="F1450" s="834"/>
      <c r="G1450" s="90">
        <v>21.285989999999998</v>
      </c>
    </row>
    <row r="1451" spans="1:7">
      <c r="A1451" s="91"/>
      <c r="B1451" s="92"/>
      <c r="C1451" s="162"/>
      <c r="D1451" s="92"/>
      <c r="E1451" s="97"/>
      <c r="F1451" s="98"/>
      <c r="G1451" s="96"/>
    </row>
    <row r="1452" spans="1:7">
      <c r="A1452" s="835" t="s">
        <v>1912</v>
      </c>
      <c r="B1452" s="836"/>
      <c r="C1452" s="836"/>
      <c r="D1452" s="836"/>
      <c r="E1452" s="836"/>
      <c r="F1452" s="836"/>
      <c r="G1452" s="837"/>
    </row>
    <row r="1453" spans="1:7">
      <c r="A1453" s="84" t="s">
        <v>1903</v>
      </c>
      <c r="B1453" s="84" t="s">
        <v>131</v>
      </c>
      <c r="C1453" s="160" t="s">
        <v>1904</v>
      </c>
      <c r="D1453" s="84" t="s">
        <v>167</v>
      </c>
      <c r="E1453" s="85" t="s">
        <v>1905</v>
      </c>
      <c r="F1453" s="86" t="s">
        <v>1906</v>
      </c>
      <c r="G1453" s="86" t="s">
        <v>1907</v>
      </c>
    </row>
    <row r="1454" spans="1:7">
      <c r="A1454" s="87"/>
      <c r="B1454" s="87"/>
      <c r="C1454" s="278" t="s">
        <v>34</v>
      </c>
      <c r="D1454" s="89" t="s">
        <v>34</v>
      </c>
      <c r="E1454" s="88"/>
      <c r="F1454" s="89" t="s">
        <v>34</v>
      </c>
      <c r="G1454" s="89" t="s">
        <v>34</v>
      </c>
    </row>
    <row r="1455" spans="1:7">
      <c r="A1455" s="87"/>
      <c r="B1455" s="87"/>
      <c r="C1455" s="278" t="s">
        <v>34</v>
      </c>
      <c r="D1455" s="89" t="s">
        <v>34</v>
      </c>
      <c r="E1455" s="88"/>
      <c r="F1455" s="89" t="s">
        <v>34</v>
      </c>
      <c r="G1455" s="89" t="s">
        <v>34</v>
      </c>
    </row>
    <row r="1456" spans="1:7">
      <c r="A1456" s="832" t="s">
        <v>1908</v>
      </c>
      <c r="B1456" s="833" t="s">
        <v>1908</v>
      </c>
      <c r="C1456" s="833"/>
      <c r="D1456" s="833"/>
      <c r="E1456" s="833"/>
      <c r="F1456" s="834"/>
      <c r="G1456" s="90" t="s">
        <v>34</v>
      </c>
    </row>
    <row r="1457" spans="1:11" ht="13.5" thickBot="1">
      <c r="A1457" s="91"/>
      <c r="B1457" s="92"/>
      <c r="C1457" s="163"/>
      <c r="D1457" s="99"/>
      <c r="E1457" s="100"/>
      <c r="F1457" s="101"/>
      <c r="G1457" s="102"/>
    </row>
    <row r="1458" spans="1:11" ht="13.5" thickBot="1">
      <c r="A1458" s="838" t="s">
        <v>1259</v>
      </c>
      <c r="B1458" s="839"/>
      <c r="C1458" s="839"/>
      <c r="D1458" s="839"/>
      <c r="E1458" s="839"/>
      <c r="F1458" s="840"/>
      <c r="G1458" s="103">
        <f>SUM(G1456,G1450,G1444)</f>
        <v>708.95091563250003</v>
      </c>
    </row>
    <row r="1461" spans="1:11">
      <c r="A1461" s="237" t="s">
        <v>131</v>
      </c>
      <c r="B1461" s="190" t="s">
        <v>27</v>
      </c>
      <c r="C1461" s="841" t="s">
        <v>1281</v>
      </c>
      <c r="D1461" s="841"/>
      <c r="E1461" s="841"/>
      <c r="F1461" s="841"/>
      <c r="G1461" s="81" t="s">
        <v>127</v>
      </c>
      <c r="I1461" s="480" t="s">
        <v>1901</v>
      </c>
      <c r="J1461" s="80"/>
      <c r="K1461" s="80"/>
    </row>
    <row r="1462" spans="1:11" ht="50.1" customHeight="1">
      <c r="A1462" s="179" t="s">
        <v>504</v>
      </c>
      <c r="B1462" s="82"/>
      <c r="C1462" s="830" t="s">
        <v>505</v>
      </c>
      <c r="D1462" s="831"/>
      <c r="E1462" s="831"/>
      <c r="F1462" s="186">
        <f>G1481</f>
        <v>509.72752399999996</v>
      </c>
      <c r="G1462" s="83" t="s">
        <v>167</v>
      </c>
      <c r="I1462" s="481"/>
      <c r="J1462" s="272"/>
      <c r="K1462" s="272"/>
    </row>
    <row r="1463" spans="1:11">
      <c r="A1463" s="818" t="s">
        <v>1902</v>
      </c>
      <c r="B1463" s="819"/>
      <c r="C1463" s="819"/>
      <c r="D1463" s="819"/>
      <c r="E1463" s="819"/>
      <c r="F1463" s="819"/>
      <c r="G1463" s="820"/>
    </row>
    <row r="1464" spans="1:11">
      <c r="A1464" s="84" t="s">
        <v>1903</v>
      </c>
      <c r="B1464" s="84" t="s">
        <v>131</v>
      </c>
      <c r="C1464" s="160" t="s">
        <v>1904</v>
      </c>
      <c r="D1464" s="84" t="s">
        <v>167</v>
      </c>
      <c r="E1464" s="85" t="s">
        <v>1905</v>
      </c>
      <c r="F1464" s="86" t="s">
        <v>1906</v>
      </c>
      <c r="G1464" s="86" t="s">
        <v>1907</v>
      </c>
    </row>
    <row r="1465" spans="1:11" ht="36">
      <c r="A1465" s="87" t="s">
        <v>1917</v>
      </c>
      <c r="B1465" s="87" t="s">
        <v>2020</v>
      </c>
      <c r="C1465" s="278" t="s">
        <v>505</v>
      </c>
      <c r="D1465" s="89" t="s">
        <v>167</v>
      </c>
      <c r="E1465" s="88">
        <v>1</v>
      </c>
      <c r="F1465" s="89">
        <f>'Mapa Cotações'!M44</f>
        <v>495.2</v>
      </c>
      <c r="G1465" s="89">
        <f>F1465*E1465</f>
        <v>495.2</v>
      </c>
    </row>
    <row r="1466" spans="1:11">
      <c r="A1466" s="87" t="s">
        <v>2</v>
      </c>
      <c r="B1466" s="87">
        <v>3148</v>
      </c>
      <c r="C1466" s="278" t="s">
        <v>1956</v>
      </c>
      <c r="D1466" s="89" t="s">
        <v>1930</v>
      </c>
      <c r="E1466" s="88">
        <v>2.64E-2</v>
      </c>
      <c r="F1466" s="89">
        <v>12.76</v>
      </c>
      <c r="G1466" s="89">
        <v>0.336864</v>
      </c>
    </row>
    <row r="1467" spans="1:11">
      <c r="A1467" s="832" t="s">
        <v>1908</v>
      </c>
      <c r="B1467" s="833"/>
      <c r="C1467" s="833"/>
      <c r="D1467" s="833"/>
      <c r="E1467" s="833"/>
      <c r="F1467" s="834"/>
      <c r="G1467" s="90">
        <f>SUM(G1465:G1466)</f>
        <v>495.53686399999998</v>
      </c>
    </row>
    <row r="1468" spans="1:11">
      <c r="A1468" s="91"/>
      <c r="B1468" s="92"/>
      <c r="C1468" s="161"/>
      <c r="D1468" s="93"/>
      <c r="E1468" s="94"/>
      <c r="F1468" s="95"/>
      <c r="G1468" s="96"/>
    </row>
    <row r="1469" spans="1:11">
      <c r="A1469" s="835" t="s">
        <v>1909</v>
      </c>
      <c r="B1469" s="836"/>
      <c r="C1469" s="836"/>
      <c r="D1469" s="836"/>
      <c r="E1469" s="836"/>
      <c r="F1469" s="836"/>
      <c r="G1469" s="837"/>
    </row>
    <row r="1470" spans="1:11">
      <c r="A1470" s="84" t="s">
        <v>1903</v>
      </c>
      <c r="B1470" s="84" t="s">
        <v>131</v>
      </c>
      <c r="C1470" s="160" t="s">
        <v>1904</v>
      </c>
      <c r="D1470" s="84" t="s">
        <v>167</v>
      </c>
      <c r="E1470" s="85" t="s">
        <v>1905</v>
      </c>
      <c r="F1470" s="86" t="s">
        <v>1906</v>
      </c>
      <c r="G1470" s="86" t="s">
        <v>1907</v>
      </c>
    </row>
    <row r="1471" spans="1:11" ht="24">
      <c r="A1471" s="87" t="s">
        <v>2</v>
      </c>
      <c r="B1471" s="87">
        <v>88248</v>
      </c>
      <c r="C1471" s="278" t="s">
        <v>1947</v>
      </c>
      <c r="D1471" s="89" t="s">
        <v>137</v>
      </c>
      <c r="E1471" s="88">
        <v>0.29699999999999999</v>
      </c>
      <c r="F1471" s="89">
        <v>21.45</v>
      </c>
      <c r="G1471" s="89">
        <v>6.3706499999999995</v>
      </c>
    </row>
    <row r="1472" spans="1:11" ht="24">
      <c r="A1472" s="87" t="s">
        <v>2</v>
      </c>
      <c r="B1472" s="87">
        <v>88267</v>
      </c>
      <c r="C1472" s="278" t="s">
        <v>1949</v>
      </c>
      <c r="D1472" s="89" t="s">
        <v>137</v>
      </c>
      <c r="E1472" s="88">
        <v>0.29699999999999999</v>
      </c>
      <c r="F1472" s="89">
        <v>26.33</v>
      </c>
      <c r="G1472" s="89">
        <v>7.820009999999999</v>
      </c>
    </row>
    <row r="1473" spans="1:11">
      <c r="A1473" s="832" t="s">
        <v>1908</v>
      </c>
      <c r="B1473" s="833"/>
      <c r="C1473" s="833"/>
      <c r="D1473" s="833"/>
      <c r="E1473" s="833"/>
      <c r="F1473" s="834"/>
      <c r="G1473" s="90">
        <v>14.190659999999998</v>
      </c>
    </row>
    <row r="1474" spans="1:11">
      <c r="A1474" s="91"/>
      <c r="B1474" s="92"/>
      <c r="C1474" s="162"/>
      <c r="D1474" s="92"/>
      <c r="E1474" s="97"/>
      <c r="F1474" s="98"/>
      <c r="G1474" s="96"/>
    </row>
    <row r="1475" spans="1:11">
      <c r="A1475" s="835" t="s">
        <v>1912</v>
      </c>
      <c r="B1475" s="836"/>
      <c r="C1475" s="836"/>
      <c r="D1475" s="836"/>
      <c r="E1475" s="836"/>
      <c r="F1475" s="836"/>
      <c r="G1475" s="837"/>
    </row>
    <row r="1476" spans="1:11">
      <c r="A1476" s="84" t="s">
        <v>1903</v>
      </c>
      <c r="B1476" s="84" t="s">
        <v>131</v>
      </c>
      <c r="C1476" s="160" t="s">
        <v>1904</v>
      </c>
      <c r="D1476" s="84" t="s">
        <v>167</v>
      </c>
      <c r="E1476" s="85" t="s">
        <v>1905</v>
      </c>
      <c r="F1476" s="86" t="s">
        <v>1906</v>
      </c>
      <c r="G1476" s="86" t="s">
        <v>1907</v>
      </c>
    </row>
    <row r="1477" spans="1:11">
      <c r="A1477" s="87"/>
      <c r="B1477" s="87"/>
      <c r="C1477" s="278" t="s">
        <v>34</v>
      </c>
      <c r="D1477" s="89" t="s">
        <v>34</v>
      </c>
      <c r="E1477" s="88"/>
      <c r="F1477" s="89" t="s">
        <v>34</v>
      </c>
      <c r="G1477" s="89" t="s">
        <v>34</v>
      </c>
    </row>
    <row r="1478" spans="1:11">
      <c r="A1478" s="87"/>
      <c r="B1478" s="87"/>
      <c r="C1478" s="278" t="s">
        <v>34</v>
      </c>
      <c r="D1478" s="89" t="s">
        <v>34</v>
      </c>
      <c r="E1478" s="88"/>
      <c r="F1478" s="89" t="s">
        <v>34</v>
      </c>
      <c r="G1478" s="89" t="s">
        <v>34</v>
      </c>
    </row>
    <row r="1479" spans="1:11">
      <c r="A1479" s="832" t="s">
        <v>1908</v>
      </c>
      <c r="B1479" s="833" t="s">
        <v>1908</v>
      </c>
      <c r="C1479" s="833"/>
      <c r="D1479" s="833"/>
      <c r="E1479" s="833"/>
      <c r="F1479" s="834"/>
      <c r="G1479" s="90" t="s">
        <v>34</v>
      </c>
    </row>
    <row r="1480" spans="1:11" ht="13.5" thickBot="1">
      <c r="A1480" s="91"/>
      <c r="B1480" s="92"/>
      <c r="C1480" s="163"/>
      <c r="D1480" s="99"/>
      <c r="E1480" s="100"/>
      <c r="F1480" s="101"/>
      <c r="G1480" s="102"/>
    </row>
    <row r="1481" spans="1:11" ht="13.5" thickBot="1">
      <c r="A1481" s="838" t="s">
        <v>1259</v>
      </c>
      <c r="B1481" s="839"/>
      <c r="C1481" s="839"/>
      <c r="D1481" s="839"/>
      <c r="E1481" s="839"/>
      <c r="F1481" s="840"/>
      <c r="G1481" s="103">
        <f>SUM(G1479,G1473,G1467)</f>
        <v>509.72752399999996</v>
      </c>
    </row>
    <row r="1484" spans="1:11">
      <c r="A1484" s="237" t="s">
        <v>131</v>
      </c>
      <c r="B1484" s="190" t="s">
        <v>27</v>
      </c>
      <c r="C1484" s="841" t="s">
        <v>1281</v>
      </c>
      <c r="D1484" s="841"/>
      <c r="E1484" s="841"/>
      <c r="F1484" s="841"/>
      <c r="G1484" s="81" t="s">
        <v>127</v>
      </c>
      <c r="I1484" s="480" t="s">
        <v>1901</v>
      </c>
      <c r="J1484" s="80"/>
      <c r="K1484" s="80"/>
    </row>
    <row r="1485" spans="1:11" ht="50.1" customHeight="1">
      <c r="A1485" s="179" t="s">
        <v>507</v>
      </c>
      <c r="B1485" s="82"/>
      <c r="C1485" s="830" t="s">
        <v>508</v>
      </c>
      <c r="D1485" s="831"/>
      <c r="E1485" s="831"/>
      <c r="F1485" s="186">
        <f>G1504</f>
        <v>160.97900250000001</v>
      </c>
      <c r="G1485" s="83" t="s">
        <v>167</v>
      </c>
      <c r="I1485" s="481"/>
      <c r="J1485" s="272"/>
      <c r="K1485" s="272"/>
    </row>
    <row r="1486" spans="1:11">
      <c r="A1486" s="818" t="s">
        <v>1902</v>
      </c>
      <c r="B1486" s="819"/>
      <c r="C1486" s="819"/>
      <c r="D1486" s="819"/>
      <c r="E1486" s="819"/>
      <c r="F1486" s="819"/>
      <c r="G1486" s="820"/>
    </row>
    <row r="1487" spans="1:11">
      <c r="A1487" s="84" t="s">
        <v>1903</v>
      </c>
      <c r="B1487" s="84" t="s">
        <v>131</v>
      </c>
      <c r="C1487" s="160" t="s">
        <v>1904</v>
      </c>
      <c r="D1487" s="84" t="s">
        <v>167</v>
      </c>
      <c r="E1487" s="85" t="s">
        <v>1905</v>
      </c>
      <c r="F1487" s="86" t="s">
        <v>1906</v>
      </c>
      <c r="G1487" s="86" t="s">
        <v>1907</v>
      </c>
    </row>
    <row r="1488" spans="1:11" ht="36">
      <c r="A1488" s="87" t="s">
        <v>1917</v>
      </c>
      <c r="B1488" s="87" t="s">
        <v>2021</v>
      </c>
      <c r="C1488" s="278" t="s">
        <v>508</v>
      </c>
      <c r="D1488" s="89" t="s">
        <v>167</v>
      </c>
      <c r="E1488" s="88">
        <v>1</v>
      </c>
      <c r="F1488" s="89">
        <f>'Mapa Cotações'!M45</f>
        <v>151.89930000000001</v>
      </c>
      <c r="G1488" s="89">
        <f>F1488*E1488</f>
        <v>151.89930000000001</v>
      </c>
    </row>
    <row r="1489" spans="1:7">
      <c r="A1489" s="87" t="s">
        <v>2</v>
      </c>
      <c r="B1489" s="87">
        <v>3148</v>
      </c>
      <c r="C1489" s="278" t="s">
        <v>1956</v>
      </c>
      <c r="D1489" s="89" t="s">
        <v>1930</v>
      </c>
      <c r="E1489" s="88">
        <v>1.6500000000000001E-2</v>
      </c>
      <c r="F1489" s="89">
        <v>12.76</v>
      </c>
      <c r="G1489" s="89">
        <v>0.21054</v>
      </c>
    </row>
    <row r="1490" spans="1:7">
      <c r="A1490" s="832" t="s">
        <v>1908</v>
      </c>
      <c r="B1490" s="833"/>
      <c r="C1490" s="833"/>
      <c r="D1490" s="833"/>
      <c r="E1490" s="833"/>
      <c r="F1490" s="834"/>
      <c r="G1490" s="90">
        <f>SUM(G1488:G1489)</f>
        <v>152.10984000000002</v>
      </c>
    </row>
    <row r="1491" spans="1:7">
      <c r="A1491" s="91"/>
      <c r="B1491" s="92"/>
      <c r="C1491" s="161"/>
      <c r="D1491" s="93"/>
      <c r="E1491" s="94"/>
      <c r="F1491" s="95"/>
      <c r="G1491" s="96"/>
    </row>
    <row r="1492" spans="1:7">
      <c r="A1492" s="835" t="s">
        <v>1909</v>
      </c>
      <c r="B1492" s="836"/>
      <c r="C1492" s="836"/>
      <c r="D1492" s="836"/>
      <c r="E1492" s="836"/>
      <c r="F1492" s="836"/>
      <c r="G1492" s="837"/>
    </row>
    <row r="1493" spans="1:7">
      <c r="A1493" s="84" t="s">
        <v>1903</v>
      </c>
      <c r="B1493" s="84" t="s">
        <v>131</v>
      </c>
      <c r="C1493" s="160" t="s">
        <v>1904</v>
      </c>
      <c r="D1493" s="84" t="s">
        <v>167</v>
      </c>
      <c r="E1493" s="85" t="s">
        <v>1905</v>
      </c>
      <c r="F1493" s="86" t="s">
        <v>1906</v>
      </c>
      <c r="G1493" s="86" t="s">
        <v>1907</v>
      </c>
    </row>
    <row r="1494" spans="1:7" ht="24">
      <c r="A1494" s="87" t="s">
        <v>2</v>
      </c>
      <c r="B1494" s="87">
        <v>88248</v>
      </c>
      <c r="C1494" s="278" t="s">
        <v>1947</v>
      </c>
      <c r="D1494" s="89" t="s">
        <v>137</v>
      </c>
      <c r="E1494" s="88">
        <v>0.18562499999999998</v>
      </c>
      <c r="F1494" s="89">
        <v>21.45</v>
      </c>
      <c r="G1494" s="89">
        <v>3.9816562499999995</v>
      </c>
    </row>
    <row r="1495" spans="1:7" ht="24">
      <c r="A1495" s="87" t="s">
        <v>2</v>
      </c>
      <c r="B1495" s="87">
        <v>88267</v>
      </c>
      <c r="C1495" s="278" t="s">
        <v>1949</v>
      </c>
      <c r="D1495" s="89" t="s">
        <v>137</v>
      </c>
      <c r="E1495" s="88">
        <v>0.18562499999999998</v>
      </c>
      <c r="F1495" s="89">
        <v>26.33</v>
      </c>
      <c r="G1495" s="89">
        <v>4.8875062499999995</v>
      </c>
    </row>
    <row r="1496" spans="1:7">
      <c r="A1496" s="832" t="s">
        <v>1908</v>
      </c>
      <c r="B1496" s="833"/>
      <c r="C1496" s="833"/>
      <c r="D1496" s="833"/>
      <c r="E1496" s="833"/>
      <c r="F1496" s="834"/>
      <c r="G1496" s="90">
        <v>8.8691624999999981</v>
      </c>
    </row>
    <row r="1497" spans="1:7">
      <c r="A1497" s="91"/>
      <c r="B1497" s="92"/>
      <c r="C1497" s="162"/>
      <c r="D1497" s="92"/>
      <c r="E1497" s="97"/>
      <c r="F1497" s="98"/>
      <c r="G1497" s="96"/>
    </row>
    <row r="1498" spans="1:7">
      <c r="A1498" s="835" t="s">
        <v>1912</v>
      </c>
      <c r="B1498" s="836"/>
      <c r="C1498" s="836"/>
      <c r="D1498" s="836"/>
      <c r="E1498" s="836"/>
      <c r="F1498" s="836"/>
      <c r="G1498" s="837"/>
    </row>
    <row r="1499" spans="1:7">
      <c r="A1499" s="84" t="s">
        <v>1903</v>
      </c>
      <c r="B1499" s="84" t="s">
        <v>131</v>
      </c>
      <c r="C1499" s="160" t="s">
        <v>1904</v>
      </c>
      <c r="D1499" s="84" t="s">
        <v>167</v>
      </c>
      <c r="E1499" s="85" t="s">
        <v>1905</v>
      </c>
      <c r="F1499" s="86" t="s">
        <v>1906</v>
      </c>
      <c r="G1499" s="86" t="s">
        <v>1907</v>
      </c>
    </row>
    <row r="1500" spans="1:7">
      <c r="A1500" s="87"/>
      <c r="B1500" s="87"/>
      <c r="C1500" s="278" t="s">
        <v>34</v>
      </c>
      <c r="D1500" s="89" t="s">
        <v>34</v>
      </c>
      <c r="E1500" s="88"/>
      <c r="F1500" s="89" t="s">
        <v>34</v>
      </c>
      <c r="G1500" s="89" t="s">
        <v>34</v>
      </c>
    </row>
    <row r="1501" spans="1:7">
      <c r="A1501" s="87"/>
      <c r="B1501" s="87"/>
      <c r="C1501" s="278" t="s">
        <v>34</v>
      </c>
      <c r="D1501" s="89" t="s">
        <v>34</v>
      </c>
      <c r="E1501" s="88"/>
      <c r="F1501" s="89" t="s">
        <v>34</v>
      </c>
      <c r="G1501" s="89" t="s">
        <v>34</v>
      </c>
    </row>
    <row r="1502" spans="1:7">
      <c r="A1502" s="832" t="s">
        <v>1908</v>
      </c>
      <c r="B1502" s="833" t="s">
        <v>1908</v>
      </c>
      <c r="C1502" s="833"/>
      <c r="D1502" s="833"/>
      <c r="E1502" s="833"/>
      <c r="F1502" s="834"/>
      <c r="G1502" s="90" t="s">
        <v>34</v>
      </c>
    </row>
    <row r="1503" spans="1:7" ht="13.5" thickBot="1">
      <c r="A1503" s="91"/>
      <c r="B1503" s="92"/>
      <c r="C1503" s="163"/>
      <c r="D1503" s="99"/>
      <c r="E1503" s="100"/>
      <c r="F1503" s="101"/>
      <c r="G1503" s="102"/>
    </row>
    <row r="1504" spans="1:7" ht="13.5" thickBot="1">
      <c r="A1504" s="838" t="s">
        <v>1259</v>
      </c>
      <c r="B1504" s="839"/>
      <c r="C1504" s="839"/>
      <c r="D1504" s="839"/>
      <c r="E1504" s="839"/>
      <c r="F1504" s="840"/>
      <c r="G1504" s="103">
        <f>SUM(G1502,G1496,G1490)</f>
        <v>160.97900250000001</v>
      </c>
    </row>
    <row r="1507" spans="1:11">
      <c r="A1507" s="237" t="s">
        <v>131</v>
      </c>
      <c r="B1507" s="190" t="s">
        <v>27</v>
      </c>
      <c r="C1507" s="841" t="s">
        <v>1281</v>
      </c>
      <c r="D1507" s="841"/>
      <c r="E1507" s="841"/>
      <c r="F1507" s="841"/>
      <c r="G1507" s="81" t="s">
        <v>127</v>
      </c>
      <c r="I1507" s="480" t="s">
        <v>1901</v>
      </c>
      <c r="J1507" s="80"/>
      <c r="K1507" s="80"/>
    </row>
    <row r="1508" spans="1:11" ht="50.1" customHeight="1">
      <c r="A1508" s="179" t="s">
        <v>510</v>
      </c>
      <c r="B1508" s="82"/>
      <c r="C1508" s="830" t="s">
        <v>511</v>
      </c>
      <c r="D1508" s="831"/>
      <c r="E1508" s="831"/>
      <c r="F1508" s="186">
        <f>G1527</f>
        <v>2659.329972</v>
      </c>
      <c r="G1508" s="83" t="s">
        <v>167</v>
      </c>
      <c r="I1508" s="481"/>
      <c r="J1508" s="272"/>
      <c r="K1508" s="272"/>
    </row>
    <row r="1509" spans="1:11">
      <c r="A1509" s="818" t="s">
        <v>1902</v>
      </c>
      <c r="B1509" s="819"/>
      <c r="C1509" s="819"/>
      <c r="D1509" s="819"/>
      <c r="E1509" s="819"/>
      <c r="F1509" s="819"/>
      <c r="G1509" s="820"/>
    </row>
    <row r="1510" spans="1:11">
      <c r="A1510" s="84" t="s">
        <v>1903</v>
      </c>
      <c r="B1510" s="84" t="s">
        <v>131</v>
      </c>
      <c r="C1510" s="160" t="s">
        <v>1904</v>
      </c>
      <c r="D1510" s="84" t="s">
        <v>167</v>
      </c>
      <c r="E1510" s="85" t="s">
        <v>1905</v>
      </c>
      <c r="F1510" s="86" t="s">
        <v>1906</v>
      </c>
      <c r="G1510" s="86" t="s">
        <v>1907</v>
      </c>
    </row>
    <row r="1511" spans="1:11" ht="36">
      <c r="A1511" s="87" t="s">
        <v>1917</v>
      </c>
      <c r="B1511" s="87" t="s">
        <v>2022</v>
      </c>
      <c r="C1511" s="278" t="s">
        <v>511</v>
      </c>
      <c r="D1511" s="89" t="s">
        <v>167</v>
      </c>
      <c r="E1511" s="88">
        <v>1</v>
      </c>
      <c r="F1511" s="89">
        <f>'Mapa Cotações'!M46</f>
        <v>2615.7473999999997</v>
      </c>
      <c r="G1511" s="89">
        <f>F1511*E1511</f>
        <v>2615.7473999999997</v>
      </c>
    </row>
    <row r="1512" spans="1:11">
      <c r="A1512" s="87" t="s">
        <v>2</v>
      </c>
      <c r="B1512" s="87">
        <v>3148</v>
      </c>
      <c r="C1512" s="278" t="s">
        <v>1956</v>
      </c>
      <c r="D1512" s="89" t="s">
        <v>1930</v>
      </c>
      <c r="E1512" s="88">
        <v>7.9199999999999993E-2</v>
      </c>
      <c r="F1512" s="89">
        <v>12.76</v>
      </c>
      <c r="G1512" s="89">
        <v>1.0105919999999999</v>
      </c>
    </row>
    <row r="1513" spans="1:11">
      <c r="A1513" s="832" t="s">
        <v>1908</v>
      </c>
      <c r="B1513" s="833"/>
      <c r="C1513" s="833"/>
      <c r="D1513" s="833"/>
      <c r="E1513" s="833"/>
      <c r="F1513" s="834"/>
      <c r="G1513" s="90">
        <f>SUM(G1511:G1512)</f>
        <v>2616.7579919999998</v>
      </c>
    </row>
    <row r="1514" spans="1:11">
      <c r="A1514" s="91"/>
      <c r="B1514" s="92"/>
      <c r="C1514" s="161"/>
      <c r="D1514" s="93"/>
      <c r="E1514" s="94"/>
      <c r="F1514" s="95"/>
      <c r="G1514" s="96"/>
    </row>
    <row r="1515" spans="1:11">
      <c r="A1515" s="835" t="s">
        <v>1909</v>
      </c>
      <c r="B1515" s="836"/>
      <c r="C1515" s="836"/>
      <c r="D1515" s="836"/>
      <c r="E1515" s="836"/>
      <c r="F1515" s="836"/>
      <c r="G1515" s="837"/>
    </row>
    <row r="1516" spans="1:11">
      <c r="A1516" s="84" t="s">
        <v>1903</v>
      </c>
      <c r="B1516" s="84" t="s">
        <v>131</v>
      </c>
      <c r="C1516" s="160" t="s">
        <v>1904</v>
      </c>
      <c r="D1516" s="84" t="s">
        <v>167</v>
      </c>
      <c r="E1516" s="85" t="s">
        <v>1905</v>
      </c>
      <c r="F1516" s="86" t="s">
        <v>1906</v>
      </c>
      <c r="G1516" s="86" t="s">
        <v>1907</v>
      </c>
    </row>
    <row r="1517" spans="1:11" ht="24">
      <c r="A1517" s="87" t="s">
        <v>2</v>
      </c>
      <c r="B1517" s="87">
        <v>88248</v>
      </c>
      <c r="C1517" s="278" t="s">
        <v>1947</v>
      </c>
      <c r="D1517" s="89" t="s">
        <v>137</v>
      </c>
      <c r="E1517" s="88">
        <v>0.89100000000000001</v>
      </c>
      <c r="F1517" s="89">
        <v>21.45</v>
      </c>
      <c r="G1517" s="89">
        <v>19.11195</v>
      </c>
    </row>
    <row r="1518" spans="1:11" ht="24">
      <c r="A1518" s="87" t="s">
        <v>2</v>
      </c>
      <c r="B1518" s="87">
        <v>88267</v>
      </c>
      <c r="C1518" s="278" t="s">
        <v>1949</v>
      </c>
      <c r="D1518" s="89" t="s">
        <v>137</v>
      </c>
      <c r="E1518" s="88">
        <v>0.89100000000000001</v>
      </c>
      <c r="F1518" s="89">
        <v>26.33</v>
      </c>
      <c r="G1518" s="89">
        <v>23.46003</v>
      </c>
    </row>
    <row r="1519" spans="1:11">
      <c r="A1519" s="832" t="s">
        <v>1908</v>
      </c>
      <c r="B1519" s="833"/>
      <c r="C1519" s="833"/>
      <c r="D1519" s="833"/>
      <c r="E1519" s="833"/>
      <c r="F1519" s="834"/>
      <c r="G1519" s="90">
        <v>42.571979999999996</v>
      </c>
    </row>
    <row r="1520" spans="1:11">
      <c r="A1520" s="91"/>
      <c r="B1520" s="92"/>
      <c r="C1520" s="162"/>
      <c r="D1520" s="92"/>
      <c r="E1520" s="97"/>
      <c r="F1520" s="98"/>
      <c r="G1520" s="96"/>
    </row>
    <row r="1521" spans="1:11">
      <c r="A1521" s="835" t="s">
        <v>1912</v>
      </c>
      <c r="B1521" s="836"/>
      <c r="C1521" s="836"/>
      <c r="D1521" s="836"/>
      <c r="E1521" s="836"/>
      <c r="F1521" s="836"/>
      <c r="G1521" s="837"/>
    </row>
    <row r="1522" spans="1:11">
      <c r="A1522" s="84" t="s">
        <v>1903</v>
      </c>
      <c r="B1522" s="84" t="s">
        <v>131</v>
      </c>
      <c r="C1522" s="160" t="s">
        <v>1904</v>
      </c>
      <c r="D1522" s="84" t="s">
        <v>167</v>
      </c>
      <c r="E1522" s="85" t="s">
        <v>1905</v>
      </c>
      <c r="F1522" s="86" t="s">
        <v>1906</v>
      </c>
      <c r="G1522" s="86" t="s">
        <v>1907</v>
      </c>
    </row>
    <row r="1523" spans="1:11">
      <c r="A1523" s="87"/>
      <c r="B1523" s="87"/>
      <c r="C1523" s="278" t="s">
        <v>34</v>
      </c>
      <c r="D1523" s="89" t="s">
        <v>34</v>
      </c>
      <c r="E1523" s="88"/>
      <c r="F1523" s="89" t="s">
        <v>34</v>
      </c>
      <c r="G1523" s="89" t="s">
        <v>34</v>
      </c>
    </row>
    <row r="1524" spans="1:11">
      <c r="A1524" s="87"/>
      <c r="B1524" s="87"/>
      <c r="C1524" s="278" t="s">
        <v>34</v>
      </c>
      <c r="D1524" s="89" t="s">
        <v>34</v>
      </c>
      <c r="E1524" s="88"/>
      <c r="F1524" s="89" t="s">
        <v>34</v>
      </c>
      <c r="G1524" s="89" t="s">
        <v>34</v>
      </c>
    </row>
    <row r="1525" spans="1:11">
      <c r="A1525" s="832" t="s">
        <v>1908</v>
      </c>
      <c r="B1525" s="833" t="s">
        <v>1908</v>
      </c>
      <c r="C1525" s="833"/>
      <c r="D1525" s="833"/>
      <c r="E1525" s="833"/>
      <c r="F1525" s="834"/>
      <c r="G1525" s="90" t="s">
        <v>34</v>
      </c>
    </row>
    <row r="1526" spans="1:11" ht="13.5" thickBot="1">
      <c r="A1526" s="91"/>
      <c r="B1526" s="92"/>
      <c r="C1526" s="163"/>
      <c r="D1526" s="99"/>
      <c r="E1526" s="100"/>
      <c r="F1526" s="101"/>
      <c r="G1526" s="102"/>
    </row>
    <row r="1527" spans="1:11" ht="13.5" thickBot="1">
      <c r="A1527" s="838" t="s">
        <v>1259</v>
      </c>
      <c r="B1527" s="839"/>
      <c r="C1527" s="839"/>
      <c r="D1527" s="839"/>
      <c r="E1527" s="839"/>
      <c r="F1527" s="840"/>
      <c r="G1527" s="103">
        <f>SUM(G1525,G1519,G1513)</f>
        <v>2659.329972</v>
      </c>
    </row>
    <row r="1530" spans="1:11">
      <c r="A1530" s="237" t="s">
        <v>131</v>
      </c>
      <c r="B1530" s="190" t="s">
        <v>27</v>
      </c>
      <c r="C1530" s="841" t="s">
        <v>1281</v>
      </c>
      <c r="D1530" s="841"/>
      <c r="E1530" s="841"/>
      <c r="F1530" s="841"/>
      <c r="G1530" s="81" t="s">
        <v>127</v>
      </c>
      <c r="I1530" s="480" t="s">
        <v>1901</v>
      </c>
      <c r="J1530" s="80"/>
      <c r="K1530" s="80"/>
    </row>
    <row r="1531" spans="1:11" ht="50.1" customHeight="1">
      <c r="A1531" s="179" t="s">
        <v>513</v>
      </c>
      <c r="B1531" s="82"/>
      <c r="C1531" s="830" t="s">
        <v>514</v>
      </c>
      <c r="D1531" s="831"/>
      <c r="E1531" s="831"/>
      <c r="F1531" s="186">
        <f>G1550</f>
        <v>2271.7188100000003</v>
      </c>
      <c r="G1531" s="83" t="s">
        <v>167</v>
      </c>
      <c r="I1531" s="481"/>
      <c r="J1531" s="272"/>
      <c r="K1531" s="272"/>
    </row>
    <row r="1532" spans="1:11">
      <c r="A1532" s="818" t="s">
        <v>1902</v>
      </c>
      <c r="B1532" s="819"/>
      <c r="C1532" s="819"/>
      <c r="D1532" s="819"/>
      <c r="E1532" s="819"/>
      <c r="F1532" s="819"/>
      <c r="G1532" s="820"/>
    </row>
    <row r="1533" spans="1:11">
      <c r="A1533" s="84" t="s">
        <v>1903</v>
      </c>
      <c r="B1533" s="84" t="s">
        <v>131</v>
      </c>
      <c r="C1533" s="160" t="s">
        <v>1904</v>
      </c>
      <c r="D1533" s="84" t="s">
        <v>167</v>
      </c>
      <c r="E1533" s="85" t="s">
        <v>1905</v>
      </c>
      <c r="F1533" s="86" t="s">
        <v>1906</v>
      </c>
      <c r="G1533" s="86" t="s">
        <v>1907</v>
      </c>
    </row>
    <row r="1534" spans="1:11" ht="36">
      <c r="A1534" s="87" t="s">
        <v>1917</v>
      </c>
      <c r="B1534" s="87" t="s">
        <v>2023</v>
      </c>
      <c r="C1534" s="278" t="s">
        <v>514</v>
      </c>
      <c r="D1534" s="89" t="s">
        <v>167</v>
      </c>
      <c r="E1534" s="88">
        <v>1</v>
      </c>
      <c r="F1534" s="89">
        <f>'Mapa Cotações'!M47</f>
        <v>2235.4</v>
      </c>
      <c r="G1534" s="89">
        <f>F1534*E1534</f>
        <v>2235.4</v>
      </c>
    </row>
    <row r="1535" spans="1:11">
      <c r="A1535" s="87" t="s">
        <v>2</v>
      </c>
      <c r="B1535" s="87">
        <v>3148</v>
      </c>
      <c r="C1535" s="278" t="s">
        <v>1956</v>
      </c>
      <c r="D1535" s="89" t="s">
        <v>1930</v>
      </c>
      <c r="E1535" s="88">
        <v>6.6000000000000003E-2</v>
      </c>
      <c r="F1535" s="89">
        <v>12.76</v>
      </c>
      <c r="G1535" s="89">
        <v>0.84216000000000002</v>
      </c>
    </row>
    <row r="1536" spans="1:11">
      <c r="A1536" s="832" t="s">
        <v>1908</v>
      </c>
      <c r="B1536" s="833"/>
      <c r="C1536" s="833"/>
      <c r="D1536" s="833"/>
      <c r="E1536" s="833"/>
      <c r="F1536" s="834"/>
      <c r="G1536" s="90">
        <f>SUM(G1534:G1535)</f>
        <v>2236.2421600000002</v>
      </c>
    </row>
    <row r="1537" spans="1:7">
      <c r="A1537" s="91"/>
      <c r="B1537" s="92"/>
      <c r="C1537" s="161"/>
      <c r="D1537" s="93"/>
      <c r="E1537" s="94"/>
      <c r="F1537" s="95"/>
      <c r="G1537" s="96"/>
    </row>
    <row r="1538" spans="1:7">
      <c r="A1538" s="835" t="s">
        <v>1909</v>
      </c>
      <c r="B1538" s="836"/>
      <c r="C1538" s="836"/>
      <c r="D1538" s="836"/>
      <c r="E1538" s="836"/>
      <c r="F1538" s="836"/>
      <c r="G1538" s="837"/>
    </row>
    <row r="1539" spans="1:7">
      <c r="A1539" s="84" t="s">
        <v>1903</v>
      </c>
      <c r="B1539" s="84" t="s">
        <v>131</v>
      </c>
      <c r="C1539" s="160" t="s">
        <v>1904</v>
      </c>
      <c r="D1539" s="84" t="s">
        <v>167</v>
      </c>
      <c r="E1539" s="85" t="s">
        <v>1905</v>
      </c>
      <c r="F1539" s="86" t="s">
        <v>1906</v>
      </c>
      <c r="G1539" s="86" t="s">
        <v>1907</v>
      </c>
    </row>
    <row r="1540" spans="1:7" ht="24">
      <c r="A1540" s="87" t="s">
        <v>2</v>
      </c>
      <c r="B1540" s="87">
        <v>88248</v>
      </c>
      <c r="C1540" s="278" t="s">
        <v>1947</v>
      </c>
      <c r="D1540" s="89" t="s">
        <v>137</v>
      </c>
      <c r="E1540" s="88">
        <v>0.74249999999999994</v>
      </c>
      <c r="F1540" s="89">
        <v>21.45</v>
      </c>
      <c r="G1540" s="89">
        <v>15.926624999999998</v>
      </c>
    </row>
    <row r="1541" spans="1:7" ht="24">
      <c r="A1541" s="87" t="s">
        <v>2</v>
      </c>
      <c r="B1541" s="87">
        <v>88267</v>
      </c>
      <c r="C1541" s="278" t="s">
        <v>1949</v>
      </c>
      <c r="D1541" s="89" t="s">
        <v>137</v>
      </c>
      <c r="E1541" s="88">
        <v>0.74249999999999994</v>
      </c>
      <c r="F1541" s="89">
        <v>26.33</v>
      </c>
      <c r="G1541" s="89">
        <v>19.550024999999998</v>
      </c>
    </row>
    <row r="1542" spans="1:7">
      <c r="A1542" s="832" t="s">
        <v>1908</v>
      </c>
      <c r="B1542" s="833"/>
      <c r="C1542" s="833"/>
      <c r="D1542" s="833"/>
      <c r="E1542" s="833"/>
      <c r="F1542" s="834"/>
      <c r="G1542" s="90">
        <v>35.476649999999992</v>
      </c>
    </row>
    <row r="1543" spans="1:7">
      <c r="A1543" s="91"/>
      <c r="B1543" s="92"/>
      <c r="C1543" s="162"/>
      <c r="D1543" s="92"/>
      <c r="E1543" s="97"/>
      <c r="F1543" s="98"/>
      <c r="G1543" s="96"/>
    </row>
    <row r="1544" spans="1:7">
      <c r="A1544" s="835" t="s">
        <v>1912</v>
      </c>
      <c r="B1544" s="836"/>
      <c r="C1544" s="836"/>
      <c r="D1544" s="836"/>
      <c r="E1544" s="836"/>
      <c r="F1544" s="836"/>
      <c r="G1544" s="837"/>
    </row>
    <row r="1545" spans="1:7">
      <c r="A1545" s="84" t="s">
        <v>1903</v>
      </c>
      <c r="B1545" s="84" t="s">
        <v>131</v>
      </c>
      <c r="C1545" s="160" t="s">
        <v>1904</v>
      </c>
      <c r="D1545" s="84" t="s">
        <v>167</v>
      </c>
      <c r="E1545" s="85" t="s">
        <v>1905</v>
      </c>
      <c r="F1545" s="86" t="s">
        <v>1906</v>
      </c>
      <c r="G1545" s="86" t="s">
        <v>1907</v>
      </c>
    </row>
    <row r="1546" spans="1:7">
      <c r="A1546" s="87"/>
      <c r="B1546" s="87"/>
      <c r="C1546" s="278" t="s">
        <v>34</v>
      </c>
      <c r="D1546" s="89" t="s">
        <v>34</v>
      </c>
      <c r="E1546" s="88"/>
      <c r="F1546" s="89" t="s">
        <v>34</v>
      </c>
      <c r="G1546" s="89" t="s">
        <v>34</v>
      </c>
    </row>
    <row r="1547" spans="1:7">
      <c r="A1547" s="87"/>
      <c r="B1547" s="87"/>
      <c r="C1547" s="278" t="s">
        <v>34</v>
      </c>
      <c r="D1547" s="89" t="s">
        <v>34</v>
      </c>
      <c r="E1547" s="88"/>
      <c r="F1547" s="89" t="s">
        <v>34</v>
      </c>
      <c r="G1547" s="89" t="s">
        <v>34</v>
      </c>
    </row>
    <row r="1548" spans="1:7">
      <c r="A1548" s="832" t="s">
        <v>1908</v>
      </c>
      <c r="B1548" s="833" t="s">
        <v>1908</v>
      </c>
      <c r="C1548" s="833"/>
      <c r="D1548" s="833"/>
      <c r="E1548" s="833"/>
      <c r="F1548" s="834"/>
      <c r="G1548" s="90" t="s">
        <v>34</v>
      </c>
    </row>
    <row r="1549" spans="1:7" ht="13.5" thickBot="1">
      <c r="A1549" s="91"/>
      <c r="B1549" s="92"/>
      <c r="C1549" s="163"/>
      <c r="D1549" s="99"/>
      <c r="E1549" s="100"/>
      <c r="F1549" s="101"/>
      <c r="G1549" s="102"/>
    </row>
    <row r="1550" spans="1:7" ht="13.5" thickBot="1">
      <c r="A1550" s="838" t="s">
        <v>1259</v>
      </c>
      <c r="B1550" s="839"/>
      <c r="C1550" s="839"/>
      <c r="D1550" s="839"/>
      <c r="E1550" s="839"/>
      <c r="F1550" s="840"/>
      <c r="G1550" s="103">
        <f>SUM(G1548,G1542,G1536)</f>
        <v>2271.7188100000003</v>
      </c>
    </row>
    <row r="1553" spans="1:11">
      <c r="A1553" s="237" t="s">
        <v>131</v>
      </c>
      <c r="B1553" s="190" t="s">
        <v>27</v>
      </c>
      <c r="C1553" s="841" t="s">
        <v>1281</v>
      </c>
      <c r="D1553" s="841"/>
      <c r="E1553" s="841"/>
      <c r="F1553" s="841"/>
      <c r="G1553" s="81" t="s">
        <v>127</v>
      </c>
      <c r="I1553" s="480" t="s">
        <v>1901</v>
      </c>
      <c r="J1553" s="80"/>
      <c r="K1553" s="80"/>
    </row>
    <row r="1554" spans="1:11" ht="50.1" customHeight="1">
      <c r="A1554" s="179" t="s">
        <v>519</v>
      </c>
      <c r="B1554" s="82"/>
      <c r="C1554" s="830" t="s">
        <v>520</v>
      </c>
      <c r="D1554" s="831"/>
      <c r="E1554" s="831"/>
      <c r="F1554" s="186">
        <f>G1573</f>
        <v>2455.5719800000002</v>
      </c>
      <c r="G1554" s="83" t="s">
        <v>167</v>
      </c>
      <c r="I1554" s="481"/>
      <c r="J1554" s="272"/>
      <c r="K1554" s="272"/>
    </row>
    <row r="1555" spans="1:11">
      <c r="A1555" s="818" t="s">
        <v>1902</v>
      </c>
      <c r="B1555" s="819"/>
      <c r="C1555" s="819"/>
      <c r="D1555" s="819"/>
      <c r="E1555" s="819"/>
      <c r="F1555" s="819"/>
      <c r="G1555" s="820"/>
    </row>
    <row r="1556" spans="1:11">
      <c r="A1556" s="84" t="s">
        <v>1903</v>
      </c>
      <c r="B1556" s="84" t="s">
        <v>131</v>
      </c>
      <c r="C1556" s="160" t="s">
        <v>1904</v>
      </c>
      <c r="D1556" s="84" t="s">
        <v>167</v>
      </c>
      <c r="E1556" s="85" t="s">
        <v>1905</v>
      </c>
      <c r="F1556" s="86" t="s">
        <v>1906</v>
      </c>
      <c r="G1556" s="86" t="s">
        <v>1907</v>
      </c>
    </row>
    <row r="1557" spans="1:11" ht="48">
      <c r="A1557" s="87" t="s">
        <v>1917</v>
      </c>
      <c r="B1557" s="87" t="s">
        <v>2024</v>
      </c>
      <c r="C1557" s="278" t="s">
        <v>520</v>
      </c>
      <c r="D1557" s="89" t="s">
        <v>167</v>
      </c>
      <c r="E1557" s="88">
        <v>1</v>
      </c>
      <c r="F1557" s="89">
        <f>'Mapa Cotações'!M62</f>
        <v>2413</v>
      </c>
      <c r="G1557" s="89">
        <f>F1557*E1557</f>
        <v>2413</v>
      </c>
    </row>
    <row r="1558" spans="1:11">
      <c r="A1558" s="87"/>
      <c r="B1558" s="87"/>
      <c r="C1558" s="278" t="s">
        <v>34</v>
      </c>
      <c r="D1558" s="89" t="s">
        <v>34</v>
      </c>
      <c r="E1558" s="88"/>
      <c r="F1558" s="89" t="s">
        <v>34</v>
      </c>
      <c r="G1558" s="89" t="s">
        <v>34</v>
      </c>
    </row>
    <row r="1559" spans="1:11">
      <c r="A1559" s="832" t="s">
        <v>1908</v>
      </c>
      <c r="B1559" s="833"/>
      <c r="C1559" s="833"/>
      <c r="D1559" s="833"/>
      <c r="E1559" s="833"/>
      <c r="F1559" s="834"/>
      <c r="G1559" s="90">
        <f>SUM(G1557:G1558)</f>
        <v>2413</v>
      </c>
    </row>
    <row r="1560" spans="1:11">
      <c r="A1560" s="91"/>
      <c r="B1560" s="92"/>
      <c r="C1560" s="161"/>
      <c r="D1560" s="93"/>
      <c r="E1560" s="94"/>
      <c r="F1560" s="95"/>
      <c r="G1560" s="96"/>
    </row>
    <row r="1561" spans="1:11">
      <c r="A1561" s="835" t="s">
        <v>1909</v>
      </c>
      <c r="B1561" s="836"/>
      <c r="C1561" s="836"/>
      <c r="D1561" s="836"/>
      <c r="E1561" s="836"/>
      <c r="F1561" s="836"/>
      <c r="G1561" s="837"/>
    </row>
    <row r="1562" spans="1:11">
      <c r="A1562" s="84" t="s">
        <v>1903</v>
      </c>
      <c r="B1562" s="84" t="s">
        <v>131</v>
      </c>
      <c r="C1562" s="160" t="s">
        <v>1904</v>
      </c>
      <c r="D1562" s="84" t="s">
        <v>167</v>
      </c>
      <c r="E1562" s="85" t="s">
        <v>1905</v>
      </c>
      <c r="F1562" s="86" t="s">
        <v>1906</v>
      </c>
      <c r="G1562" s="86" t="s">
        <v>1907</v>
      </c>
    </row>
    <row r="1563" spans="1:11" ht="24">
      <c r="A1563" s="87" t="s">
        <v>2</v>
      </c>
      <c r="B1563" s="87">
        <v>88248</v>
      </c>
      <c r="C1563" s="278" t="s">
        <v>1947</v>
      </c>
      <c r="D1563" s="89" t="s">
        <v>137</v>
      </c>
      <c r="E1563" s="88">
        <v>0.89100000000000001</v>
      </c>
      <c r="F1563" s="89">
        <v>21.45</v>
      </c>
      <c r="G1563" s="89">
        <v>19.11195</v>
      </c>
    </row>
    <row r="1564" spans="1:11" ht="24">
      <c r="A1564" s="87" t="s">
        <v>2</v>
      </c>
      <c r="B1564" s="87">
        <v>88267</v>
      </c>
      <c r="C1564" s="278" t="s">
        <v>1949</v>
      </c>
      <c r="D1564" s="89" t="s">
        <v>137</v>
      </c>
      <c r="E1564" s="88">
        <v>0.89100000000000001</v>
      </c>
      <c r="F1564" s="89">
        <v>26.33</v>
      </c>
      <c r="G1564" s="89">
        <v>23.46003</v>
      </c>
    </row>
    <row r="1565" spans="1:11">
      <c r="A1565" s="832" t="s">
        <v>1908</v>
      </c>
      <c r="B1565" s="833"/>
      <c r="C1565" s="833"/>
      <c r="D1565" s="833"/>
      <c r="E1565" s="833"/>
      <c r="F1565" s="834"/>
      <c r="G1565" s="90">
        <v>42.571979999999996</v>
      </c>
    </row>
    <row r="1566" spans="1:11">
      <c r="A1566" s="91"/>
      <c r="B1566" s="92"/>
      <c r="C1566" s="162"/>
      <c r="D1566" s="92"/>
      <c r="E1566" s="97"/>
      <c r="F1566" s="98"/>
      <c r="G1566" s="96"/>
    </row>
    <row r="1567" spans="1:11">
      <c r="A1567" s="835" t="s">
        <v>1912</v>
      </c>
      <c r="B1567" s="836"/>
      <c r="C1567" s="836"/>
      <c r="D1567" s="836"/>
      <c r="E1567" s="836"/>
      <c r="F1567" s="836"/>
      <c r="G1567" s="837"/>
    </row>
    <row r="1568" spans="1:11">
      <c r="A1568" s="84" t="s">
        <v>1903</v>
      </c>
      <c r="B1568" s="84" t="s">
        <v>131</v>
      </c>
      <c r="C1568" s="160" t="s">
        <v>1904</v>
      </c>
      <c r="D1568" s="84" t="s">
        <v>167</v>
      </c>
      <c r="E1568" s="85" t="s">
        <v>1905</v>
      </c>
      <c r="F1568" s="86" t="s">
        <v>1906</v>
      </c>
      <c r="G1568" s="86" t="s">
        <v>1907</v>
      </c>
    </row>
    <row r="1569" spans="1:11">
      <c r="A1569" s="87"/>
      <c r="B1569" s="87"/>
      <c r="C1569" s="278" t="s">
        <v>34</v>
      </c>
      <c r="D1569" s="89" t="s">
        <v>34</v>
      </c>
      <c r="E1569" s="88"/>
      <c r="F1569" s="89" t="s">
        <v>34</v>
      </c>
      <c r="G1569" s="89" t="s">
        <v>34</v>
      </c>
    </row>
    <row r="1570" spans="1:11">
      <c r="A1570" s="87"/>
      <c r="B1570" s="87"/>
      <c r="C1570" s="278" t="s">
        <v>34</v>
      </c>
      <c r="D1570" s="89" t="s">
        <v>34</v>
      </c>
      <c r="E1570" s="88"/>
      <c r="F1570" s="89" t="s">
        <v>34</v>
      </c>
      <c r="G1570" s="89" t="s">
        <v>34</v>
      </c>
    </row>
    <row r="1571" spans="1:11">
      <c r="A1571" s="832" t="s">
        <v>1908</v>
      </c>
      <c r="B1571" s="833" t="s">
        <v>1908</v>
      </c>
      <c r="C1571" s="833"/>
      <c r="D1571" s="833"/>
      <c r="E1571" s="833"/>
      <c r="F1571" s="834"/>
      <c r="G1571" s="90" t="s">
        <v>34</v>
      </c>
    </row>
    <row r="1572" spans="1:11" ht="13.5" thickBot="1">
      <c r="A1572" s="91"/>
      <c r="B1572" s="92"/>
      <c r="C1572" s="163"/>
      <c r="D1572" s="99"/>
      <c r="E1572" s="100"/>
      <c r="F1572" s="101"/>
      <c r="G1572" s="102"/>
    </row>
    <row r="1573" spans="1:11" ht="13.5" thickBot="1">
      <c r="A1573" s="838" t="s">
        <v>1259</v>
      </c>
      <c r="B1573" s="839"/>
      <c r="C1573" s="839"/>
      <c r="D1573" s="839"/>
      <c r="E1573" s="839"/>
      <c r="F1573" s="840"/>
      <c r="G1573" s="103">
        <f>SUM(G1571,G1565,G1559)</f>
        <v>2455.5719800000002</v>
      </c>
    </row>
    <row r="1576" spans="1:11">
      <c r="A1576" s="237" t="s">
        <v>131</v>
      </c>
      <c r="B1576" s="190" t="s">
        <v>27</v>
      </c>
      <c r="C1576" s="841" t="s">
        <v>1281</v>
      </c>
      <c r="D1576" s="841"/>
      <c r="E1576" s="841"/>
      <c r="F1576" s="841"/>
      <c r="G1576" s="81" t="s">
        <v>127</v>
      </c>
      <c r="I1576" s="480" t="s">
        <v>1901</v>
      </c>
      <c r="J1576" s="80"/>
      <c r="K1576" s="80"/>
    </row>
    <row r="1577" spans="1:11" ht="50.1" customHeight="1">
      <c r="A1577" s="179" t="s">
        <v>522</v>
      </c>
      <c r="B1577" s="82"/>
      <c r="C1577" s="830" t="s">
        <v>523</v>
      </c>
      <c r="D1577" s="831"/>
      <c r="E1577" s="831"/>
      <c r="F1577" s="186">
        <f>G1596</f>
        <v>1906.1766500000001</v>
      </c>
      <c r="G1577" s="83" t="s">
        <v>167</v>
      </c>
      <c r="I1577" s="481"/>
      <c r="J1577" s="272"/>
      <c r="K1577" s="272"/>
    </row>
    <row r="1578" spans="1:11">
      <c r="A1578" s="818" t="s">
        <v>1902</v>
      </c>
      <c r="B1578" s="819"/>
      <c r="C1578" s="819"/>
      <c r="D1578" s="819"/>
      <c r="E1578" s="819"/>
      <c r="F1578" s="819"/>
      <c r="G1578" s="820"/>
    </row>
    <row r="1579" spans="1:11">
      <c r="A1579" s="84" t="s">
        <v>1903</v>
      </c>
      <c r="B1579" s="84" t="s">
        <v>131</v>
      </c>
      <c r="C1579" s="160" t="s">
        <v>1904</v>
      </c>
      <c r="D1579" s="84" t="s">
        <v>167</v>
      </c>
      <c r="E1579" s="85" t="s">
        <v>1905</v>
      </c>
      <c r="F1579" s="86" t="s">
        <v>1906</v>
      </c>
      <c r="G1579" s="86" t="s">
        <v>1907</v>
      </c>
    </row>
    <row r="1580" spans="1:11" ht="48">
      <c r="A1580" s="87" t="s">
        <v>1917</v>
      </c>
      <c r="B1580" s="87" t="s">
        <v>2025</v>
      </c>
      <c r="C1580" s="278" t="s">
        <v>523</v>
      </c>
      <c r="D1580" s="89" t="s">
        <v>167</v>
      </c>
      <c r="E1580" s="88">
        <v>1</v>
      </c>
      <c r="F1580" s="89">
        <f>'Mapa Cotações'!M63</f>
        <v>1870.7</v>
      </c>
      <c r="G1580" s="89">
        <f>F1580*E1580</f>
        <v>1870.7</v>
      </c>
    </row>
    <row r="1581" spans="1:11">
      <c r="A1581" s="87"/>
      <c r="B1581" s="87"/>
      <c r="C1581" s="278" t="s">
        <v>34</v>
      </c>
      <c r="D1581" s="89" t="s">
        <v>34</v>
      </c>
      <c r="E1581" s="88"/>
      <c r="F1581" s="89" t="s">
        <v>34</v>
      </c>
      <c r="G1581" s="89" t="s">
        <v>34</v>
      </c>
    </row>
    <row r="1582" spans="1:11">
      <c r="A1582" s="832" t="s">
        <v>1908</v>
      </c>
      <c r="B1582" s="833"/>
      <c r="C1582" s="833"/>
      <c r="D1582" s="833"/>
      <c r="E1582" s="833"/>
      <c r="F1582" s="834"/>
      <c r="G1582" s="90">
        <f>SUM(G1580:G1581)</f>
        <v>1870.7</v>
      </c>
    </row>
    <row r="1583" spans="1:11">
      <c r="A1583" s="91"/>
      <c r="B1583" s="92"/>
      <c r="C1583" s="161"/>
      <c r="D1583" s="93"/>
      <c r="E1583" s="94"/>
      <c r="F1583" s="95"/>
      <c r="G1583" s="96"/>
    </row>
    <row r="1584" spans="1:11">
      <c r="A1584" s="835" t="s">
        <v>1909</v>
      </c>
      <c r="B1584" s="836"/>
      <c r="C1584" s="836"/>
      <c r="D1584" s="836"/>
      <c r="E1584" s="836"/>
      <c r="F1584" s="836"/>
      <c r="G1584" s="837"/>
    </row>
    <row r="1585" spans="1:11">
      <c r="A1585" s="84" t="s">
        <v>1903</v>
      </c>
      <c r="B1585" s="84" t="s">
        <v>131</v>
      </c>
      <c r="C1585" s="160" t="s">
        <v>1904</v>
      </c>
      <c r="D1585" s="84" t="s">
        <v>167</v>
      </c>
      <c r="E1585" s="85" t="s">
        <v>1905</v>
      </c>
      <c r="F1585" s="86" t="s">
        <v>1906</v>
      </c>
      <c r="G1585" s="86" t="s">
        <v>1907</v>
      </c>
    </row>
    <row r="1586" spans="1:11" ht="24">
      <c r="A1586" s="87" t="s">
        <v>2</v>
      </c>
      <c r="B1586" s="87">
        <v>88248</v>
      </c>
      <c r="C1586" s="278" t="s">
        <v>1947</v>
      </c>
      <c r="D1586" s="89" t="s">
        <v>137</v>
      </c>
      <c r="E1586" s="88">
        <v>0.74249999999999994</v>
      </c>
      <c r="F1586" s="89">
        <v>21.45</v>
      </c>
      <c r="G1586" s="89">
        <v>15.926624999999998</v>
      </c>
    </row>
    <row r="1587" spans="1:11" ht="24">
      <c r="A1587" s="87" t="s">
        <v>2</v>
      </c>
      <c r="B1587" s="87">
        <v>88267</v>
      </c>
      <c r="C1587" s="278" t="s">
        <v>1949</v>
      </c>
      <c r="D1587" s="89" t="s">
        <v>137</v>
      </c>
      <c r="E1587" s="88">
        <v>0.74249999999999994</v>
      </c>
      <c r="F1587" s="89">
        <v>26.33</v>
      </c>
      <c r="G1587" s="89">
        <v>19.550024999999998</v>
      </c>
    </row>
    <row r="1588" spans="1:11">
      <c r="A1588" s="832" t="s">
        <v>1908</v>
      </c>
      <c r="B1588" s="833"/>
      <c r="C1588" s="833"/>
      <c r="D1588" s="833"/>
      <c r="E1588" s="833"/>
      <c r="F1588" s="834"/>
      <c r="G1588" s="90">
        <v>35.476649999999992</v>
      </c>
    </row>
    <row r="1589" spans="1:11">
      <c r="A1589" s="91"/>
      <c r="B1589" s="92"/>
      <c r="C1589" s="162"/>
      <c r="D1589" s="92"/>
      <c r="E1589" s="97"/>
      <c r="F1589" s="98"/>
      <c r="G1589" s="96"/>
    </row>
    <row r="1590" spans="1:11">
      <c r="A1590" s="835" t="s">
        <v>1912</v>
      </c>
      <c r="B1590" s="836"/>
      <c r="C1590" s="836"/>
      <c r="D1590" s="836"/>
      <c r="E1590" s="836"/>
      <c r="F1590" s="836"/>
      <c r="G1590" s="837"/>
    </row>
    <row r="1591" spans="1:11">
      <c r="A1591" s="84" t="s">
        <v>1903</v>
      </c>
      <c r="B1591" s="84" t="s">
        <v>131</v>
      </c>
      <c r="C1591" s="160" t="s">
        <v>1904</v>
      </c>
      <c r="D1591" s="84" t="s">
        <v>167</v>
      </c>
      <c r="E1591" s="85" t="s">
        <v>1905</v>
      </c>
      <c r="F1591" s="86" t="s">
        <v>1906</v>
      </c>
      <c r="G1591" s="86" t="s">
        <v>1907</v>
      </c>
    </row>
    <row r="1592" spans="1:11">
      <c r="A1592" s="87"/>
      <c r="B1592" s="87"/>
      <c r="C1592" s="278" t="s">
        <v>34</v>
      </c>
      <c r="D1592" s="89" t="s">
        <v>34</v>
      </c>
      <c r="E1592" s="88"/>
      <c r="F1592" s="89" t="s">
        <v>34</v>
      </c>
      <c r="G1592" s="89" t="s">
        <v>34</v>
      </c>
    </row>
    <row r="1593" spans="1:11">
      <c r="A1593" s="87"/>
      <c r="B1593" s="87"/>
      <c r="C1593" s="278" t="s">
        <v>34</v>
      </c>
      <c r="D1593" s="89" t="s">
        <v>34</v>
      </c>
      <c r="E1593" s="88"/>
      <c r="F1593" s="89" t="s">
        <v>34</v>
      </c>
      <c r="G1593" s="89" t="s">
        <v>34</v>
      </c>
    </row>
    <row r="1594" spans="1:11">
      <c r="A1594" s="832" t="s">
        <v>1908</v>
      </c>
      <c r="B1594" s="833" t="s">
        <v>1908</v>
      </c>
      <c r="C1594" s="833"/>
      <c r="D1594" s="833"/>
      <c r="E1594" s="833"/>
      <c r="F1594" s="834"/>
      <c r="G1594" s="90" t="s">
        <v>34</v>
      </c>
    </row>
    <row r="1595" spans="1:11" ht="13.5" thickBot="1">
      <c r="A1595" s="91"/>
      <c r="B1595" s="92"/>
      <c r="C1595" s="163"/>
      <c r="D1595" s="99"/>
      <c r="E1595" s="100"/>
      <c r="F1595" s="101"/>
      <c r="G1595" s="102"/>
    </row>
    <row r="1596" spans="1:11" ht="13.5" thickBot="1">
      <c r="A1596" s="838" t="s">
        <v>1259</v>
      </c>
      <c r="B1596" s="839"/>
      <c r="C1596" s="839"/>
      <c r="D1596" s="839"/>
      <c r="E1596" s="839"/>
      <c r="F1596" s="840"/>
      <c r="G1596" s="103">
        <f>SUM(G1594,G1588,G1582)</f>
        <v>1906.1766500000001</v>
      </c>
    </row>
    <row r="1599" spans="1:11">
      <c r="A1599" s="237" t="s">
        <v>131</v>
      </c>
      <c r="B1599" s="190" t="s">
        <v>27</v>
      </c>
      <c r="C1599" s="841" t="s">
        <v>1281</v>
      </c>
      <c r="D1599" s="841"/>
      <c r="E1599" s="841"/>
      <c r="F1599" s="841"/>
      <c r="G1599" s="81" t="s">
        <v>127</v>
      </c>
      <c r="I1599" s="480" t="s">
        <v>1901</v>
      </c>
      <c r="J1599" s="80"/>
      <c r="K1599" s="80"/>
    </row>
    <row r="1600" spans="1:11" ht="50.1" customHeight="1">
      <c r="A1600" s="179" t="s">
        <v>525</v>
      </c>
      <c r="B1600" s="82"/>
      <c r="C1600" s="830" t="s">
        <v>526</v>
      </c>
      <c r="D1600" s="831"/>
      <c r="E1600" s="831"/>
      <c r="F1600" s="186">
        <f>G1619</f>
        <v>913.48599000000002</v>
      </c>
      <c r="G1600" s="83" t="s">
        <v>167</v>
      </c>
      <c r="I1600" s="481"/>
      <c r="J1600" s="272"/>
      <c r="K1600" s="272"/>
    </row>
    <row r="1601" spans="1:7">
      <c r="A1601" s="818" t="s">
        <v>1902</v>
      </c>
      <c r="B1601" s="819"/>
      <c r="C1601" s="819"/>
      <c r="D1601" s="819"/>
      <c r="E1601" s="819"/>
      <c r="F1601" s="819"/>
      <c r="G1601" s="820"/>
    </row>
    <row r="1602" spans="1:7">
      <c r="A1602" s="84" t="s">
        <v>1903</v>
      </c>
      <c r="B1602" s="84" t="s">
        <v>131</v>
      </c>
      <c r="C1602" s="160" t="s">
        <v>1904</v>
      </c>
      <c r="D1602" s="84" t="s">
        <v>167</v>
      </c>
      <c r="E1602" s="85" t="s">
        <v>1905</v>
      </c>
      <c r="F1602" s="86" t="s">
        <v>1906</v>
      </c>
      <c r="G1602" s="86" t="s">
        <v>1907</v>
      </c>
    </row>
    <row r="1603" spans="1:7" ht="48">
      <c r="A1603" s="87" t="s">
        <v>1917</v>
      </c>
      <c r="B1603" s="87" t="s">
        <v>2026</v>
      </c>
      <c r="C1603" s="278" t="s">
        <v>526</v>
      </c>
      <c r="D1603" s="89" t="s">
        <v>167</v>
      </c>
      <c r="E1603" s="88">
        <v>1</v>
      </c>
      <c r="F1603" s="89">
        <f>'Mapa Cotações'!M64</f>
        <v>892.2</v>
      </c>
      <c r="G1603" s="89">
        <f>F1603*E1603</f>
        <v>892.2</v>
      </c>
    </row>
    <row r="1604" spans="1:7">
      <c r="A1604" s="87"/>
      <c r="B1604" s="87"/>
      <c r="C1604" s="278" t="s">
        <v>34</v>
      </c>
      <c r="D1604" s="89" t="s">
        <v>34</v>
      </c>
      <c r="E1604" s="88"/>
      <c r="F1604" s="89" t="s">
        <v>34</v>
      </c>
      <c r="G1604" s="89" t="s">
        <v>34</v>
      </c>
    </row>
    <row r="1605" spans="1:7">
      <c r="A1605" s="832" t="s">
        <v>1908</v>
      </c>
      <c r="B1605" s="833"/>
      <c r="C1605" s="833"/>
      <c r="D1605" s="833"/>
      <c r="E1605" s="833"/>
      <c r="F1605" s="834"/>
      <c r="G1605" s="90">
        <f>SUM(G1603:G1604)</f>
        <v>892.2</v>
      </c>
    </row>
    <row r="1606" spans="1:7">
      <c r="A1606" s="91"/>
      <c r="B1606" s="92"/>
      <c r="C1606" s="161"/>
      <c r="D1606" s="93"/>
      <c r="E1606" s="94"/>
      <c r="F1606" s="95"/>
      <c r="G1606" s="96"/>
    </row>
    <row r="1607" spans="1:7">
      <c r="A1607" s="835" t="s">
        <v>1909</v>
      </c>
      <c r="B1607" s="836"/>
      <c r="C1607" s="836"/>
      <c r="D1607" s="836"/>
      <c r="E1607" s="836"/>
      <c r="F1607" s="836"/>
      <c r="G1607" s="837"/>
    </row>
    <row r="1608" spans="1:7">
      <c r="A1608" s="84" t="s">
        <v>1903</v>
      </c>
      <c r="B1608" s="84" t="s">
        <v>131</v>
      </c>
      <c r="C1608" s="160" t="s">
        <v>1904</v>
      </c>
      <c r="D1608" s="84" t="s">
        <v>167</v>
      </c>
      <c r="E1608" s="85" t="s">
        <v>1905</v>
      </c>
      <c r="F1608" s="86" t="s">
        <v>1906</v>
      </c>
      <c r="G1608" s="86" t="s">
        <v>1907</v>
      </c>
    </row>
    <row r="1609" spans="1:7" ht="24">
      <c r="A1609" s="87" t="s">
        <v>2</v>
      </c>
      <c r="B1609" s="87">
        <v>88248</v>
      </c>
      <c r="C1609" s="278" t="s">
        <v>1947</v>
      </c>
      <c r="D1609" s="89" t="s">
        <v>137</v>
      </c>
      <c r="E1609" s="88">
        <v>0.44550000000000001</v>
      </c>
      <c r="F1609" s="89">
        <v>21.45</v>
      </c>
      <c r="G1609" s="89">
        <v>9.5559750000000001</v>
      </c>
    </row>
    <row r="1610" spans="1:7" ht="24">
      <c r="A1610" s="87" t="s">
        <v>2</v>
      </c>
      <c r="B1610" s="87">
        <v>88267</v>
      </c>
      <c r="C1610" s="278" t="s">
        <v>1949</v>
      </c>
      <c r="D1610" s="89" t="s">
        <v>137</v>
      </c>
      <c r="E1610" s="88">
        <v>0.44550000000000001</v>
      </c>
      <c r="F1610" s="89">
        <v>26.33</v>
      </c>
      <c r="G1610" s="89">
        <v>11.730015</v>
      </c>
    </row>
    <row r="1611" spans="1:7">
      <c r="A1611" s="832" t="s">
        <v>1908</v>
      </c>
      <c r="B1611" s="833"/>
      <c r="C1611" s="833"/>
      <c r="D1611" s="833"/>
      <c r="E1611" s="833"/>
      <c r="F1611" s="834"/>
      <c r="G1611" s="90">
        <v>21.285989999999998</v>
      </c>
    </row>
    <row r="1612" spans="1:7">
      <c r="A1612" s="91"/>
      <c r="B1612" s="92"/>
      <c r="C1612" s="162"/>
      <c r="D1612" s="92"/>
      <c r="E1612" s="97"/>
      <c r="F1612" s="98"/>
      <c r="G1612" s="96"/>
    </row>
    <row r="1613" spans="1:7">
      <c r="A1613" s="835" t="s">
        <v>1912</v>
      </c>
      <c r="B1613" s="836"/>
      <c r="C1613" s="836"/>
      <c r="D1613" s="836"/>
      <c r="E1613" s="836"/>
      <c r="F1613" s="836"/>
      <c r="G1613" s="837"/>
    </row>
    <row r="1614" spans="1:7">
      <c r="A1614" s="84" t="s">
        <v>1903</v>
      </c>
      <c r="B1614" s="84" t="s">
        <v>131</v>
      </c>
      <c r="C1614" s="160" t="s">
        <v>1904</v>
      </c>
      <c r="D1614" s="84" t="s">
        <v>167</v>
      </c>
      <c r="E1614" s="85" t="s">
        <v>1905</v>
      </c>
      <c r="F1614" s="86" t="s">
        <v>1906</v>
      </c>
      <c r="G1614" s="86" t="s">
        <v>1907</v>
      </c>
    </row>
    <row r="1615" spans="1:7">
      <c r="A1615" s="87"/>
      <c r="B1615" s="87"/>
      <c r="C1615" s="278" t="s">
        <v>34</v>
      </c>
      <c r="D1615" s="89" t="s">
        <v>34</v>
      </c>
      <c r="E1615" s="88"/>
      <c r="F1615" s="89" t="s">
        <v>34</v>
      </c>
      <c r="G1615" s="89" t="s">
        <v>34</v>
      </c>
    </row>
    <row r="1616" spans="1:7">
      <c r="A1616" s="87"/>
      <c r="B1616" s="87"/>
      <c r="C1616" s="278" t="s">
        <v>34</v>
      </c>
      <c r="D1616" s="89" t="s">
        <v>34</v>
      </c>
      <c r="E1616" s="88"/>
      <c r="F1616" s="89" t="s">
        <v>34</v>
      </c>
      <c r="G1616" s="89" t="s">
        <v>34</v>
      </c>
    </row>
    <row r="1617" spans="1:11">
      <c r="A1617" s="832" t="s">
        <v>1908</v>
      </c>
      <c r="B1617" s="833" t="s">
        <v>1908</v>
      </c>
      <c r="C1617" s="833"/>
      <c r="D1617" s="833"/>
      <c r="E1617" s="833"/>
      <c r="F1617" s="834"/>
      <c r="G1617" s="90" t="s">
        <v>34</v>
      </c>
    </row>
    <row r="1618" spans="1:11" ht="13.5" thickBot="1">
      <c r="A1618" s="91"/>
      <c r="B1618" s="92"/>
      <c r="C1618" s="163"/>
      <c r="D1618" s="99"/>
      <c r="E1618" s="100"/>
      <c r="F1618" s="101"/>
      <c r="G1618" s="102"/>
    </row>
    <row r="1619" spans="1:11" ht="13.5" thickBot="1">
      <c r="A1619" s="838" t="s">
        <v>1259</v>
      </c>
      <c r="B1619" s="839"/>
      <c r="C1619" s="839"/>
      <c r="D1619" s="839"/>
      <c r="E1619" s="839"/>
      <c r="F1619" s="840"/>
      <c r="G1619" s="103">
        <f>SUM(G1617,G1611,G1605)</f>
        <v>913.48599000000002</v>
      </c>
    </row>
    <row r="1622" spans="1:11">
      <c r="A1622" s="237" t="s">
        <v>131</v>
      </c>
      <c r="B1622" s="190" t="s">
        <v>27</v>
      </c>
      <c r="C1622" s="841" t="s">
        <v>1281</v>
      </c>
      <c r="D1622" s="841"/>
      <c r="E1622" s="841"/>
      <c r="F1622" s="841"/>
      <c r="G1622" s="81" t="s">
        <v>127</v>
      </c>
      <c r="I1622" s="480" t="s">
        <v>1901</v>
      </c>
      <c r="J1622" s="80"/>
      <c r="K1622" s="80"/>
    </row>
    <row r="1623" spans="1:11" ht="50.1" customHeight="1">
      <c r="A1623" s="179" t="s">
        <v>528</v>
      </c>
      <c r="B1623" s="82"/>
      <c r="C1623" s="830" t="s">
        <v>529</v>
      </c>
      <c r="D1623" s="831"/>
      <c r="E1623" s="831"/>
      <c r="F1623" s="186">
        <f>G1643</f>
        <v>1382.5620699999999</v>
      </c>
      <c r="G1623" s="83" t="s">
        <v>167</v>
      </c>
      <c r="I1623" s="481"/>
      <c r="J1623" s="272"/>
      <c r="K1623" s="272"/>
    </row>
    <row r="1624" spans="1:11">
      <c r="A1624" s="818" t="s">
        <v>1902</v>
      </c>
      <c r="B1624" s="819"/>
      <c r="C1624" s="819"/>
      <c r="D1624" s="819"/>
      <c r="E1624" s="819"/>
      <c r="F1624" s="819"/>
      <c r="G1624" s="820"/>
    </row>
    <row r="1625" spans="1:11">
      <c r="A1625" s="84" t="s">
        <v>1903</v>
      </c>
      <c r="B1625" s="84" t="s">
        <v>131</v>
      </c>
      <c r="C1625" s="160" t="s">
        <v>1904</v>
      </c>
      <c r="D1625" s="84" t="s">
        <v>167</v>
      </c>
      <c r="E1625" s="85" t="s">
        <v>1905</v>
      </c>
      <c r="F1625" s="86" t="s">
        <v>1906</v>
      </c>
      <c r="G1625" s="86" t="s">
        <v>1907</v>
      </c>
    </row>
    <row r="1626" spans="1:11" ht="48">
      <c r="A1626" s="87" t="s">
        <v>1917</v>
      </c>
      <c r="B1626" s="87" t="s">
        <v>2027</v>
      </c>
      <c r="C1626" s="278" t="s">
        <v>529</v>
      </c>
      <c r="D1626" s="89" t="s">
        <v>167</v>
      </c>
      <c r="E1626" s="88">
        <v>1</v>
      </c>
      <c r="F1626" s="89">
        <f>'Mapa Cotações'!M65</f>
        <v>1254.68427</v>
      </c>
      <c r="G1626" s="89">
        <f>F1626*E1626</f>
        <v>1254.68427</v>
      </c>
    </row>
    <row r="1627" spans="1:11" ht="24">
      <c r="A1627" s="87" t="s">
        <v>2</v>
      </c>
      <c r="B1627" s="87">
        <v>7307</v>
      </c>
      <c r="C1627" s="278" t="s">
        <v>1961</v>
      </c>
      <c r="D1627" s="89" t="s">
        <v>1962</v>
      </c>
      <c r="E1627" s="88">
        <v>0.02</v>
      </c>
      <c r="F1627" s="89">
        <v>51.77</v>
      </c>
      <c r="G1627" s="89">
        <v>1.0354000000000001</v>
      </c>
    </row>
    <row r="1628" spans="1:11">
      <c r="A1628" s="87" t="s">
        <v>2</v>
      </c>
      <c r="B1628" s="87">
        <v>3148</v>
      </c>
      <c r="C1628" s="278" t="s">
        <v>1956</v>
      </c>
      <c r="D1628" s="89" t="s">
        <v>1930</v>
      </c>
      <c r="E1628" s="88">
        <v>0.13</v>
      </c>
      <c r="F1628" s="89">
        <v>12.76</v>
      </c>
      <c r="G1628" s="89">
        <v>1.6588000000000001</v>
      </c>
    </row>
    <row r="1629" spans="1:11">
      <c r="A1629" s="832" t="s">
        <v>1908</v>
      </c>
      <c r="B1629" s="833"/>
      <c r="C1629" s="833"/>
      <c r="D1629" s="833"/>
      <c r="E1629" s="833"/>
      <c r="F1629" s="834"/>
      <c r="G1629" s="90">
        <f>SUM(G1626:G1628)</f>
        <v>1257.3784699999999</v>
      </c>
    </row>
    <row r="1630" spans="1:11">
      <c r="A1630" s="91"/>
      <c r="B1630" s="92"/>
      <c r="C1630" s="161"/>
      <c r="D1630" s="93"/>
      <c r="E1630" s="94"/>
      <c r="F1630" s="95"/>
      <c r="G1630" s="96"/>
    </row>
    <row r="1631" spans="1:11">
      <c r="A1631" s="835" t="s">
        <v>1909</v>
      </c>
      <c r="B1631" s="836"/>
      <c r="C1631" s="836"/>
      <c r="D1631" s="836"/>
      <c r="E1631" s="836"/>
      <c r="F1631" s="836"/>
      <c r="G1631" s="837"/>
    </row>
    <row r="1632" spans="1:11">
      <c r="A1632" s="84" t="s">
        <v>1903</v>
      </c>
      <c r="B1632" s="84" t="s">
        <v>131</v>
      </c>
      <c r="C1632" s="160" t="s">
        <v>1904</v>
      </c>
      <c r="D1632" s="84" t="s">
        <v>167</v>
      </c>
      <c r="E1632" s="85" t="s">
        <v>1905</v>
      </c>
      <c r="F1632" s="86" t="s">
        <v>1906</v>
      </c>
      <c r="G1632" s="86" t="s">
        <v>1907</v>
      </c>
    </row>
    <row r="1633" spans="1:11" ht="24">
      <c r="A1633" s="87" t="s">
        <v>2</v>
      </c>
      <c r="B1633" s="87">
        <v>88248</v>
      </c>
      <c r="C1633" s="278" t="s">
        <v>1947</v>
      </c>
      <c r="D1633" s="89" t="s">
        <v>137</v>
      </c>
      <c r="E1633" s="88">
        <v>2.62</v>
      </c>
      <c r="F1633" s="89">
        <v>21.45</v>
      </c>
      <c r="G1633" s="89">
        <v>56.198999999999998</v>
      </c>
    </row>
    <row r="1634" spans="1:11" ht="24">
      <c r="A1634" s="87" t="s">
        <v>2</v>
      </c>
      <c r="B1634" s="87">
        <v>88267</v>
      </c>
      <c r="C1634" s="278" t="s">
        <v>1949</v>
      </c>
      <c r="D1634" s="89" t="s">
        <v>137</v>
      </c>
      <c r="E1634" s="88">
        <v>2.62</v>
      </c>
      <c r="F1634" s="89">
        <v>26.33</v>
      </c>
      <c r="G1634" s="89">
        <v>68.9846</v>
      </c>
    </row>
    <row r="1635" spans="1:11">
      <c r="A1635" s="832" t="s">
        <v>1908</v>
      </c>
      <c r="B1635" s="833"/>
      <c r="C1635" s="833"/>
      <c r="D1635" s="833"/>
      <c r="E1635" s="833"/>
      <c r="F1635" s="834"/>
      <c r="G1635" s="90">
        <v>125.1836</v>
      </c>
    </row>
    <row r="1636" spans="1:11">
      <c r="A1636" s="91"/>
      <c r="B1636" s="92"/>
      <c r="C1636" s="162"/>
      <c r="D1636" s="92"/>
      <c r="E1636" s="97"/>
      <c r="F1636" s="98"/>
      <c r="G1636" s="96"/>
    </row>
    <row r="1637" spans="1:11">
      <c r="A1637" s="835" t="s">
        <v>1912</v>
      </c>
      <c r="B1637" s="836"/>
      <c r="C1637" s="836"/>
      <c r="D1637" s="836"/>
      <c r="E1637" s="836"/>
      <c r="F1637" s="836"/>
      <c r="G1637" s="837"/>
    </row>
    <row r="1638" spans="1:11">
      <c r="A1638" s="84" t="s">
        <v>1903</v>
      </c>
      <c r="B1638" s="84" t="s">
        <v>131</v>
      </c>
      <c r="C1638" s="160" t="s">
        <v>1904</v>
      </c>
      <c r="D1638" s="84" t="s">
        <v>167</v>
      </c>
      <c r="E1638" s="85" t="s">
        <v>1905</v>
      </c>
      <c r="F1638" s="86" t="s">
        <v>1906</v>
      </c>
      <c r="G1638" s="86" t="s">
        <v>1907</v>
      </c>
    </row>
    <row r="1639" spans="1:11">
      <c r="A1639" s="87"/>
      <c r="B1639" s="87"/>
      <c r="C1639" s="278" t="s">
        <v>34</v>
      </c>
      <c r="D1639" s="89" t="s">
        <v>34</v>
      </c>
      <c r="E1639" s="88"/>
      <c r="F1639" s="89" t="s">
        <v>34</v>
      </c>
      <c r="G1639" s="89" t="s">
        <v>34</v>
      </c>
    </row>
    <row r="1640" spans="1:11">
      <c r="A1640" s="87"/>
      <c r="B1640" s="87"/>
      <c r="C1640" s="278" t="s">
        <v>34</v>
      </c>
      <c r="D1640" s="89" t="s">
        <v>34</v>
      </c>
      <c r="E1640" s="88"/>
      <c r="F1640" s="89" t="s">
        <v>34</v>
      </c>
      <c r="G1640" s="89" t="s">
        <v>34</v>
      </c>
    </row>
    <row r="1641" spans="1:11">
      <c r="A1641" s="832" t="s">
        <v>1908</v>
      </c>
      <c r="B1641" s="833" t="s">
        <v>1908</v>
      </c>
      <c r="C1641" s="833"/>
      <c r="D1641" s="833"/>
      <c r="E1641" s="833"/>
      <c r="F1641" s="834"/>
      <c r="G1641" s="90" t="s">
        <v>34</v>
      </c>
    </row>
    <row r="1642" spans="1:11" ht="13.5" thickBot="1">
      <c r="A1642" s="91"/>
      <c r="B1642" s="92"/>
      <c r="C1642" s="163"/>
      <c r="D1642" s="99"/>
      <c r="E1642" s="100"/>
      <c r="F1642" s="101"/>
      <c r="G1642" s="102"/>
    </row>
    <row r="1643" spans="1:11" ht="13.5" thickBot="1">
      <c r="A1643" s="838" t="s">
        <v>1259</v>
      </c>
      <c r="B1643" s="839"/>
      <c r="C1643" s="839"/>
      <c r="D1643" s="839"/>
      <c r="E1643" s="839"/>
      <c r="F1643" s="840"/>
      <c r="G1643" s="103">
        <f>SUM(G1641,G1635,G1629)</f>
        <v>1382.5620699999999</v>
      </c>
    </row>
    <row r="1646" spans="1:11">
      <c r="A1646" s="237" t="s">
        <v>131</v>
      </c>
      <c r="B1646" s="190" t="s">
        <v>27</v>
      </c>
      <c r="C1646" s="841" t="s">
        <v>1281</v>
      </c>
      <c r="D1646" s="841"/>
      <c r="E1646" s="841"/>
      <c r="F1646" s="841"/>
      <c r="G1646" s="81" t="s">
        <v>127</v>
      </c>
      <c r="I1646" s="480" t="s">
        <v>1901</v>
      </c>
      <c r="J1646" s="80"/>
      <c r="K1646" s="80"/>
    </row>
    <row r="1647" spans="1:11" ht="50.1" customHeight="1">
      <c r="A1647" s="179" t="s">
        <v>531</v>
      </c>
      <c r="B1647" s="82"/>
      <c r="C1647" s="830" t="s">
        <v>532</v>
      </c>
      <c r="D1647" s="831"/>
      <c r="E1647" s="831"/>
      <c r="F1647" s="186">
        <f>G1667</f>
        <v>1405.0731499999999</v>
      </c>
      <c r="G1647" s="83" t="s">
        <v>167</v>
      </c>
      <c r="I1647" s="481"/>
      <c r="J1647" s="272"/>
      <c r="K1647" s="272"/>
    </row>
    <row r="1648" spans="1:11">
      <c r="A1648" s="818" t="s">
        <v>1902</v>
      </c>
      <c r="B1648" s="819"/>
      <c r="C1648" s="819"/>
      <c r="D1648" s="819"/>
      <c r="E1648" s="819"/>
      <c r="F1648" s="819"/>
      <c r="G1648" s="820"/>
    </row>
    <row r="1649" spans="1:7">
      <c r="A1649" s="84" t="s">
        <v>1903</v>
      </c>
      <c r="B1649" s="84" t="s">
        <v>131</v>
      </c>
      <c r="C1649" s="160" t="s">
        <v>1904</v>
      </c>
      <c r="D1649" s="84" t="s">
        <v>167</v>
      </c>
      <c r="E1649" s="85" t="s">
        <v>1905</v>
      </c>
      <c r="F1649" s="86" t="s">
        <v>1906</v>
      </c>
      <c r="G1649" s="86" t="s">
        <v>1907</v>
      </c>
    </row>
    <row r="1650" spans="1:7" ht="48">
      <c r="A1650" s="87" t="s">
        <v>1917</v>
      </c>
      <c r="B1650" s="87" t="s">
        <v>2028</v>
      </c>
      <c r="C1650" s="278" t="s">
        <v>532</v>
      </c>
      <c r="D1650" s="89" t="s">
        <v>167</v>
      </c>
      <c r="E1650" s="88">
        <v>1</v>
      </c>
      <c r="F1650" s="89">
        <f>'Mapa Cotações'!M66</f>
        <v>1302.77091</v>
      </c>
      <c r="G1650" s="89">
        <f>F1650*E1650</f>
        <v>1302.77091</v>
      </c>
    </row>
    <row r="1651" spans="1:7" ht="24">
      <c r="A1651" s="87" t="s">
        <v>2</v>
      </c>
      <c r="B1651" s="87">
        <v>7307</v>
      </c>
      <c r="C1651" s="278" t="s">
        <v>1961</v>
      </c>
      <c r="D1651" s="89" t="s">
        <v>1962</v>
      </c>
      <c r="E1651" s="88">
        <v>1.6E-2</v>
      </c>
      <c r="F1651" s="89">
        <v>51.77</v>
      </c>
      <c r="G1651" s="89">
        <f>F1651*E1651</f>
        <v>0.82832000000000006</v>
      </c>
    </row>
    <row r="1652" spans="1:7">
      <c r="A1652" s="87" t="s">
        <v>2</v>
      </c>
      <c r="B1652" s="87">
        <v>3148</v>
      </c>
      <c r="C1652" s="278" t="s">
        <v>1956</v>
      </c>
      <c r="D1652" s="89" t="s">
        <v>1930</v>
      </c>
      <c r="E1652" s="88">
        <v>0.104</v>
      </c>
      <c r="F1652" s="89">
        <v>12.76</v>
      </c>
      <c r="G1652" s="89">
        <f>F1652*E1652</f>
        <v>1.32704</v>
      </c>
    </row>
    <row r="1653" spans="1:7">
      <c r="A1653" s="832" t="s">
        <v>1908</v>
      </c>
      <c r="B1653" s="833"/>
      <c r="C1653" s="833"/>
      <c r="D1653" s="833"/>
      <c r="E1653" s="833"/>
      <c r="F1653" s="834"/>
      <c r="G1653" s="90">
        <f>SUM(G1650:G1652)</f>
        <v>1304.9262699999999</v>
      </c>
    </row>
    <row r="1654" spans="1:7">
      <c r="A1654" s="91"/>
      <c r="B1654" s="92"/>
      <c r="C1654" s="161"/>
      <c r="D1654" s="93"/>
      <c r="E1654" s="94"/>
      <c r="F1654" s="95"/>
      <c r="G1654" s="96"/>
    </row>
    <row r="1655" spans="1:7">
      <c r="A1655" s="835" t="s">
        <v>1909</v>
      </c>
      <c r="B1655" s="836"/>
      <c r="C1655" s="836"/>
      <c r="D1655" s="836"/>
      <c r="E1655" s="836"/>
      <c r="F1655" s="836"/>
      <c r="G1655" s="837"/>
    </row>
    <row r="1656" spans="1:7">
      <c r="A1656" s="84" t="s">
        <v>1903</v>
      </c>
      <c r="B1656" s="84" t="s">
        <v>131</v>
      </c>
      <c r="C1656" s="160" t="s">
        <v>1904</v>
      </c>
      <c r="D1656" s="84" t="s">
        <v>167</v>
      </c>
      <c r="E1656" s="85" t="s">
        <v>1905</v>
      </c>
      <c r="F1656" s="86" t="s">
        <v>1906</v>
      </c>
      <c r="G1656" s="86" t="s">
        <v>1907</v>
      </c>
    </row>
    <row r="1657" spans="1:7" ht="24">
      <c r="A1657" s="87" t="s">
        <v>2</v>
      </c>
      <c r="B1657" s="87">
        <v>88248</v>
      </c>
      <c r="C1657" s="278" t="s">
        <v>1947</v>
      </c>
      <c r="D1657" s="89" t="s">
        <v>137</v>
      </c>
      <c r="E1657" s="88">
        <v>2.0960000000000001</v>
      </c>
      <c r="F1657" s="89">
        <v>21.45</v>
      </c>
      <c r="G1657" s="89">
        <f>F1657*E1657</f>
        <v>44.959200000000003</v>
      </c>
    </row>
    <row r="1658" spans="1:7" ht="24">
      <c r="A1658" s="87" t="s">
        <v>2</v>
      </c>
      <c r="B1658" s="87">
        <v>88267</v>
      </c>
      <c r="C1658" s="278" t="s">
        <v>1949</v>
      </c>
      <c r="D1658" s="89" t="s">
        <v>137</v>
      </c>
      <c r="E1658" s="88">
        <v>2.0960000000000001</v>
      </c>
      <c r="F1658" s="89">
        <v>26.33</v>
      </c>
      <c r="G1658" s="89">
        <f>F1658*E1658</f>
        <v>55.18768</v>
      </c>
    </row>
    <row r="1659" spans="1:7">
      <c r="A1659" s="832" t="s">
        <v>1908</v>
      </c>
      <c r="B1659" s="833"/>
      <c r="C1659" s="833"/>
      <c r="D1659" s="833"/>
      <c r="E1659" s="833"/>
      <c r="F1659" s="834"/>
      <c r="G1659" s="90">
        <f>SUM(G1657:G1658)</f>
        <v>100.14688000000001</v>
      </c>
    </row>
    <row r="1660" spans="1:7">
      <c r="A1660" s="91"/>
      <c r="B1660" s="92"/>
      <c r="C1660" s="162"/>
      <c r="D1660" s="92"/>
      <c r="E1660" s="97"/>
      <c r="F1660" s="98"/>
      <c r="G1660" s="96"/>
    </row>
    <row r="1661" spans="1:7">
      <c r="A1661" s="835" t="s">
        <v>1912</v>
      </c>
      <c r="B1661" s="836"/>
      <c r="C1661" s="836"/>
      <c r="D1661" s="836"/>
      <c r="E1661" s="836"/>
      <c r="F1661" s="836"/>
      <c r="G1661" s="837"/>
    </row>
    <row r="1662" spans="1:7">
      <c r="A1662" s="84" t="s">
        <v>1903</v>
      </c>
      <c r="B1662" s="84" t="s">
        <v>131</v>
      </c>
      <c r="C1662" s="160" t="s">
        <v>1904</v>
      </c>
      <c r="D1662" s="84" t="s">
        <v>167</v>
      </c>
      <c r="E1662" s="85" t="s">
        <v>1905</v>
      </c>
      <c r="F1662" s="86" t="s">
        <v>1906</v>
      </c>
      <c r="G1662" s="86" t="s">
        <v>1907</v>
      </c>
    </row>
    <row r="1663" spans="1:7">
      <c r="A1663" s="87"/>
      <c r="B1663" s="87"/>
      <c r="C1663" s="278" t="s">
        <v>34</v>
      </c>
      <c r="D1663" s="89" t="s">
        <v>34</v>
      </c>
      <c r="E1663" s="88"/>
      <c r="F1663" s="89" t="s">
        <v>34</v>
      </c>
      <c r="G1663" s="89" t="s">
        <v>34</v>
      </c>
    </row>
    <row r="1664" spans="1:7">
      <c r="A1664" s="87"/>
      <c r="B1664" s="87"/>
      <c r="C1664" s="278" t="s">
        <v>34</v>
      </c>
      <c r="D1664" s="89" t="s">
        <v>34</v>
      </c>
      <c r="E1664" s="88"/>
      <c r="F1664" s="89" t="s">
        <v>34</v>
      </c>
      <c r="G1664" s="89" t="s">
        <v>34</v>
      </c>
    </row>
    <row r="1665" spans="1:11">
      <c r="A1665" s="832" t="s">
        <v>1908</v>
      </c>
      <c r="B1665" s="833" t="s">
        <v>1908</v>
      </c>
      <c r="C1665" s="833"/>
      <c r="D1665" s="833"/>
      <c r="E1665" s="833"/>
      <c r="F1665" s="834"/>
      <c r="G1665" s="90" t="s">
        <v>34</v>
      </c>
    </row>
    <row r="1666" spans="1:11" ht="13.5" thickBot="1">
      <c r="A1666" s="91"/>
      <c r="B1666" s="92"/>
      <c r="C1666" s="163"/>
      <c r="D1666" s="99"/>
      <c r="E1666" s="100"/>
      <c r="F1666" s="101"/>
      <c r="G1666" s="102"/>
    </row>
    <row r="1667" spans="1:11" ht="13.5" thickBot="1">
      <c r="A1667" s="838" t="s">
        <v>1259</v>
      </c>
      <c r="B1667" s="839"/>
      <c r="C1667" s="839"/>
      <c r="D1667" s="839"/>
      <c r="E1667" s="839"/>
      <c r="F1667" s="840"/>
      <c r="G1667" s="103">
        <f>SUM(G1665,G1659,G1653)</f>
        <v>1405.0731499999999</v>
      </c>
    </row>
    <row r="1670" spans="1:11">
      <c r="A1670" s="237" t="s">
        <v>131</v>
      </c>
      <c r="B1670" s="190" t="s">
        <v>27</v>
      </c>
      <c r="C1670" s="841" t="s">
        <v>1281</v>
      </c>
      <c r="D1670" s="841"/>
      <c r="E1670" s="841"/>
      <c r="F1670" s="841"/>
      <c r="G1670" s="81" t="s">
        <v>127</v>
      </c>
      <c r="I1670" s="480" t="s">
        <v>1901</v>
      </c>
      <c r="J1670" s="80"/>
      <c r="K1670" s="80"/>
    </row>
    <row r="1671" spans="1:11" ht="50.1" customHeight="1">
      <c r="A1671" s="179" t="s">
        <v>534</v>
      </c>
      <c r="B1671" s="82"/>
      <c r="C1671" s="830" t="s">
        <v>535</v>
      </c>
      <c r="D1671" s="831"/>
      <c r="E1671" s="831"/>
      <c r="F1671" s="186">
        <f>G1691</f>
        <v>846.21668</v>
      </c>
      <c r="G1671" s="83" t="s">
        <v>167</v>
      </c>
      <c r="I1671" s="481"/>
      <c r="J1671" s="272"/>
      <c r="K1671" s="272"/>
    </row>
    <row r="1672" spans="1:11">
      <c r="A1672" s="818" t="s">
        <v>1902</v>
      </c>
      <c r="B1672" s="819"/>
      <c r="C1672" s="819"/>
      <c r="D1672" s="819"/>
      <c r="E1672" s="819"/>
      <c r="F1672" s="819"/>
      <c r="G1672" s="820"/>
    </row>
    <row r="1673" spans="1:11">
      <c r="A1673" s="84" t="s">
        <v>1903</v>
      </c>
      <c r="B1673" s="84" t="s">
        <v>131</v>
      </c>
      <c r="C1673" s="160" t="s">
        <v>1904</v>
      </c>
      <c r="D1673" s="84" t="s">
        <v>167</v>
      </c>
      <c r="E1673" s="85" t="s">
        <v>1905</v>
      </c>
      <c r="F1673" s="86" t="s">
        <v>1906</v>
      </c>
      <c r="G1673" s="86" t="s">
        <v>1907</v>
      </c>
    </row>
    <row r="1674" spans="1:11" ht="48">
      <c r="A1674" s="87" t="s">
        <v>1917</v>
      </c>
      <c r="B1674" s="87" t="s">
        <v>2029</v>
      </c>
      <c r="C1674" s="278" t="s">
        <v>535</v>
      </c>
      <c r="D1674" s="89" t="s">
        <v>167</v>
      </c>
      <c r="E1674" s="88">
        <v>1</v>
      </c>
      <c r="F1674" s="89">
        <f>'Mapa Cotações'!M67</f>
        <v>769.49</v>
      </c>
      <c r="G1674" s="89">
        <f>F1674*E1674</f>
        <v>769.49</v>
      </c>
    </row>
    <row r="1675" spans="1:11" ht="24">
      <c r="A1675" s="87" t="s">
        <v>2</v>
      </c>
      <c r="B1675" s="87">
        <v>7307</v>
      </c>
      <c r="C1675" s="278" t="s">
        <v>1961</v>
      </c>
      <c r="D1675" s="89" t="s">
        <v>1962</v>
      </c>
      <c r="E1675" s="88">
        <v>1.2E-2</v>
      </c>
      <c r="F1675" s="89">
        <v>51.77</v>
      </c>
      <c r="G1675" s="89">
        <v>0.62124000000000001</v>
      </c>
    </row>
    <row r="1676" spans="1:11">
      <c r="A1676" s="87" t="s">
        <v>2</v>
      </c>
      <c r="B1676" s="87">
        <v>3148</v>
      </c>
      <c r="C1676" s="278" t="s">
        <v>1956</v>
      </c>
      <c r="D1676" s="89" t="s">
        <v>1930</v>
      </c>
      <c r="E1676" s="88">
        <v>7.8E-2</v>
      </c>
      <c r="F1676" s="89">
        <v>12.76</v>
      </c>
      <c r="G1676" s="89">
        <v>0.99527999999999994</v>
      </c>
    </row>
    <row r="1677" spans="1:11">
      <c r="A1677" s="832" t="s">
        <v>1908</v>
      </c>
      <c r="B1677" s="833"/>
      <c r="C1677" s="833"/>
      <c r="D1677" s="833"/>
      <c r="E1677" s="833"/>
      <c r="F1677" s="834"/>
      <c r="G1677" s="90">
        <f>SUM(G1674:G1676)</f>
        <v>771.10651999999993</v>
      </c>
    </row>
    <row r="1678" spans="1:11">
      <c r="A1678" s="91"/>
      <c r="B1678" s="92"/>
      <c r="C1678" s="161"/>
      <c r="D1678" s="93"/>
      <c r="E1678" s="94"/>
      <c r="F1678" s="95"/>
      <c r="G1678" s="96"/>
    </row>
    <row r="1679" spans="1:11">
      <c r="A1679" s="835" t="s">
        <v>1909</v>
      </c>
      <c r="B1679" s="836"/>
      <c r="C1679" s="836"/>
      <c r="D1679" s="836"/>
      <c r="E1679" s="836"/>
      <c r="F1679" s="836"/>
      <c r="G1679" s="837"/>
    </row>
    <row r="1680" spans="1:11">
      <c r="A1680" s="84" t="s">
        <v>1903</v>
      </c>
      <c r="B1680" s="84" t="s">
        <v>131</v>
      </c>
      <c r="C1680" s="160" t="s">
        <v>1904</v>
      </c>
      <c r="D1680" s="84" t="s">
        <v>167</v>
      </c>
      <c r="E1680" s="85" t="s">
        <v>1905</v>
      </c>
      <c r="F1680" s="86" t="s">
        <v>1906</v>
      </c>
      <c r="G1680" s="86" t="s">
        <v>1907</v>
      </c>
    </row>
    <row r="1681" spans="1:11" ht="24">
      <c r="A1681" s="87" t="s">
        <v>2</v>
      </c>
      <c r="B1681" s="87">
        <v>88248</v>
      </c>
      <c r="C1681" s="278" t="s">
        <v>1947</v>
      </c>
      <c r="D1681" s="89" t="s">
        <v>137</v>
      </c>
      <c r="E1681" s="88">
        <v>1.5720000000000001</v>
      </c>
      <c r="F1681" s="89">
        <v>21.45</v>
      </c>
      <c r="G1681" s="89">
        <v>33.7194</v>
      </c>
    </row>
    <row r="1682" spans="1:11" ht="24">
      <c r="A1682" s="87" t="s">
        <v>2</v>
      </c>
      <c r="B1682" s="87">
        <v>88267</v>
      </c>
      <c r="C1682" s="278" t="s">
        <v>1949</v>
      </c>
      <c r="D1682" s="89" t="s">
        <v>137</v>
      </c>
      <c r="E1682" s="88">
        <v>1.5720000000000001</v>
      </c>
      <c r="F1682" s="89">
        <v>26.33</v>
      </c>
      <c r="G1682" s="89">
        <v>41.39076</v>
      </c>
    </row>
    <row r="1683" spans="1:11">
      <c r="A1683" s="832" t="s">
        <v>1908</v>
      </c>
      <c r="B1683" s="833"/>
      <c r="C1683" s="833"/>
      <c r="D1683" s="833"/>
      <c r="E1683" s="833"/>
      <c r="F1683" s="834"/>
      <c r="G1683" s="90">
        <f>SUM(G1681:G1682)</f>
        <v>75.110160000000008</v>
      </c>
    </row>
    <row r="1684" spans="1:11">
      <c r="A1684" s="91"/>
      <c r="B1684" s="92"/>
      <c r="C1684" s="162"/>
      <c r="D1684" s="92"/>
      <c r="E1684" s="97"/>
      <c r="F1684" s="98"/>
      <c r="G1684" s="96"/>
    </row>
    <row r="1685" spans="1:11">
      <c r="A1685" s="835" t="s">
        <v>1912</v>
      </c>
      <c r="B1685" s="836"/>
      <c r="C1685" s="836"/>
      <c r="D1685" s="836"/>
      <c r="E1685" s="836"/>
      <c r="F1685" s="836"/>
      <c r="G1685" s="837"/>
    </row>
    <row r="1686" spans="1:11">
      <c r="A1686" s="84" t="s">
        <v>1903</v>
      </c>
      <c r="B1686" s="84" t="s">
        <v>131</v>
      </c>
      <c r="C1686" s="160" t="s">
        <v>1904</v>
      </c>
      <c r="D1686" s="84" t="s">
        <v>167</v>
      </c>
      <c r="E1686" s="85" t="s">
        <v>1905</v>
      </c>
      <c r="F1686" s="86" t="s">
        <v>1906</v>
      </c>
      <c r="G1686" s="86" t="s">
        <v>1907</v>
      </c>
    </row>
    <row r="1687" spans="1:11">
      <c r="A1687" s="87"/>
      <c r="B1687" s="87"/>
      <c r="C1687" s="278" t="s">
        <v>34</v>
      </c>
      <c r="D1687" s="89" t="s">
        <v>34</v>
      </c>
      <c r="E1687" s="88"/>
      <c r="F1687" s="89" t="s">
        <v>34</v>
      </c>
      <c r="G1687" s="89" t="s">
        <v>34</v>
      </c>
    </row>
    <row r="1688" spans="1:11">
      <c r="A1688" s="87"/>
      <c r="B1688" s="87"/>
      <c r="C1688" s="278" t="s">
        <v>34</v>
      </c>
      <c r="D1688" s="89" t="s">
        <v>34</v>
      </c>
      <c r="E1688" s="88"/>
      <c r="F1688" s="89" t="s">
        <v>34</v>
      </c>
      <c r="G1688" s="89" t="s">
        <v>34</v>
      </c>
    </row>
    <row r="1689" spans="1:11">
      <c r="A1689" s="832" t="s">
        <v>1908</v>
      </c>
      <c r="B1689" s="833" t="s">
        <v>1908</v>
      </c>
      <c r="C1689" s="833"/>
      <c r="D1689" s="833"/>
      <c r="E1689" s="833"/>
      <c r="F1689" s="834"/>
      <c r="G1689" s="90" t="s">
        <v>34</v>
      </c>
    </row>
    <row r="1690" spans="1:11" ht="13.5" thickBot="1">
      <c r="A1690" s="91"/>
      <c r="B1690" s="92"/>
      <c r="C1690" s="163"/>
      <c r="D1690" s="99"/>
      <c r="E1690" s="100"/>
      <c r="F1690" s="101"/>
      <c r="G1690" s="102"/>
    </row>
    <row r="1691" spans="1:11" ht="13.5" thickBot="1">
      <c r="A1691" s="838" t="s">
        <v>1259</v>
      </c>
      <c r="B1691" s="839"/>
      <c r="C1691" s="839"/>
      <c r="D1691" s="839"/>
      <c r="E1691" s="839"/>
      <c r="F1691" s="840"/>
      <c r="G1691" s="103">
        <f>SUM(G1689,G1683,G1677)</f>
        <v>846.21668</v>
      </c>
    </row>
    <row r="1694" spans="1:11">
      <c r="A1694" s="237" t="s">
        <v>131</v>
      </c>
      <c r="B1694" s="190" t="s">
        <v>27</v>
      </c>
      <c r="C1694" s="841" t="s">
        <v>1281</v>
      </c>
      <c r="D1694" s="841"/>
      <c r="E1694" s="841"/>
      <c r="F1694" s="841"/>
      <c r="G1694" s="81" t="s">
        <v>127</v>
      </c>
      <c r="I1694" s="480" t="s">
        <v>1901</v>
      </c>
      <c r="J1694" s="80"/>
      <c r="K1694" s="80"/>
    </row>
    <row r="1695" spans="1:11" ht="50.1" customHeight="1">
      <c r="A1695" s="179" t="s">
        <v>537</v>
      </c>
      <c r="B1695" s="82"/>
      <c r="C1695" s="830" t="s">
        <v>538</v>
      </c>
      <c r="D1695" s="831"/>
      <c r="E1695" s="831"/>
      <c r="F1695" s="186">
        <f>G1715</f>
        <v>726.25890000000004</v>
      </c>
      <c r="G1695" s="83" t="s">
        <v>167</v>
      </c>
      <c r="I1695" s="481"/>
      <c r="J1695" s="272"/>
      <c r="K1695" s="272"/>
    </row>
    <row r="1696" spans="1:11">
      <c r="A1696" s="818" t="s">
        <v>1902</v>
      </c>
      <c r="B1696" s="819"/>
      <c r="C1696" s="819"/>
      <c r="D1696" s="819"/>
      <c r="E1696" s="819"/>
      <c r="F1696" s="819"/>
      <c r="G1696" s="820"/>
    </row>
    <row r="1697" spans="1:7">
      <c r="A1697" s="84" t="s">
        <v>1903</v>
      </c>
      <c r="B1697" s="84" t="s">
        <v>131</v>
      </c>
      <c r="C1697" s="160" t="s">
        <v>1904</v>
      </c>
      <c r="D1697" s="84" t="s">
        <v>167</v>
      </c>
      <c r="E1697" s="85" t="s">
        <v>1905</v>
      </c>
      <c r="F1697" s="86" t="s">
        <v>1906</v>
      </c>
      <c r="G1697" s="86" t="s">
        <v>1907</v>
      </c>
    </row>
    <row r="1698" spans="1:7" ht="48">
      <c r="A1698" s="87" t="s">
        <v>1917</v>
      </c>
      <c r="B1698" s="87" t="s">
        <v>2030</v>
      </c>
      <c r="C1698" s="278" t="s">
        <v>538</v>
      </c>
      <c r="D1698" s="89" t="s">
        <v>167</v>
      </c>
      <c r="E1698" s="88">
        <v>1</v>
      </c>
      <c r="F1698" s="89">
        <f>'Mapa Cotações'!M68</f>
        <v>662.32</v>
      </c>
      <c r="G1698" s="89">
        <f>F1698*E1698</f>
        <v>662.32</v>
      </c>
    </row>
    <row r="1699" spans="1:7" ht="24">
      <c r="A1699" s="87" t="s">
        <v>2</v>
      </c>
      <c r="B1699" s="87">
        <v>7307</v>
      </c>
      <c r="C1699" s="278" t="s">
        <v>1961</v>
      </c>
      <c r="D1699" s="89" t="s">
        <v>1962</v>
      </c>
      <c r="E1699" s="88">
        <v>0.01</v>
      </c>
      <c r="F1699" s="89">
        <v>51.77</v>
      </c>
      <c r="G1699" s="89">
        <v>0.51770000000000005</v>
      </c>
    </row>
    <row r="1700" spans="1:7">
      <c r="A1700" s="87" t="s">
        <v>2</v>
      </c>
      <c r="B1700" s="87">
        <v>3148</v>
      </c>
      <c r="C1700" s="278" t="s">
        <v>1956</v>
      </c>
      <c r="D1700" s="89" t="s">
        <v>1930</v>
      </c>
      <c r="E1700" s="88">
        <v>6.5000000000000002E-2</v>
      </c>
      <c r="F1700" s="89">
        <v>12.76</v>
      </c>
      <c r="G1700" s="89">
        <v>0.82940000000000003</v>
      </c>
    </row>
    <row r="1701" spans="1:7">
      <c r="A1701" s="832" t="s">
        <v>1908</v>
      </c>
      <c r="B1701" s="833"/>
      <c r="C1701" s="833"/>
      <c r="D1701" s="833"/>
      <c r="E1701" s="833"/>
      <c r="F1701" s="834"/>
      <c r="G1701" s="90">
        <f>SUM(G1698:G1700)</f>
        <v>663.6671</v>
      </c>
    </row>
    <row r="1702" spans="1:7">
      <c r="A1702" s="91"/>
      <c r="B1702" s="92"/>
      <c r="C1702" s="161"/>
      <c r="D1702" s="93"/>
      <c r="E1702" s="94"/>
      <c r="F1702" s="95"/>
      <c r="G1702" s="96"/>
    </row>
    <row r="1703" spans="1:7">
      <c r="A1703" s="835" t="s">
        <v>1909</v>
      </c>
      <c r="B1703" s="836"/>
      <c r="C1703" s="836"/>
      <c r="D1703" s="836"/>
      <c r="E1703" s="836"/>
      <c r="F1703" s="836"/>
      <c r="G1703" s="837"/>
    </row>
    <row r="1704" spans="1:7">
      <c r="A1704" s="84" t="s">
        <v>1903</v>
      </c>
      <c r="B1704" s="84" t="s">
        <v>131</v>
      </c>
      <c r="C1704" s="160" t="s">
        <v>1904</v>
      </c>
      <c r="D1704" s="84" t="s">
        <v>167</v>
      </c>
      <c r="E1704" s="85" t="s">
        <v>1905</v>
      </c>
      <c r="F1704" s="86" t="s">
        <v>1906</v>
      </c>
      <c r="G1704" s="86" t="s">
        <v>1907</v>
      </c>
    </row>
    <row r="1705" spans="1:7" ht="24">
      <c r="A1705" s="87" t="s">
        <v>2</v>
      </c>
      <c r="B1705" s="87">
        <v>88248</v>
      </c>
      <c r="C1705" s="278" t="s">
        <v>1947</v>
      </c>
      <c r="D1705" s="89" t="s">
        <v>137</v>
      </c>
      <c r="E1705" s="88">
        <v>1.31</v>
      </c>
      <c r="F1705" s="89">
        <v>21.45</v>
      </c>
      <c r="G1705" s="89">
        <v>28.099499999999999</v>
      </c>
    </row>
    <row r="1706" spans="1:7" ht="24">
      <c r="A1706" s="87" t="s">
        <v>2</v>
      </c>
      <c r="B1706" s="87">
        <v>88267</v>
      </c>
      <c r="C1706" s="278" t="s">
        <v>1949</v>
      </c>
      <c r="D1706" s="89" t="s">
        <v>137</v>
      </c>
      <c r="E1706" s="88">
        <v>1.31</v>
      </c>
      <c r="F1706" s="89">
        <v>26.33</v>
      </c>
      <c r="G1706" s="89">
        <v>34.4923</v>
      </c>
    </row>
    <row r="1707" spans="1:7">
      <c r="A1707" s="832" t="s">
        <v>1908</v>
      </c>
      <c r="B1707" s="833"/>
      <c r="C1707" s="833"/>
      <c r="D1707" s="833"/>
      <c r="E1707" s="833"/>
      <c r="F1707" s="834"/>
      <c r="G1707" s="90">
        <f>SUM(G1705:G1706)</f>
        <v>62.591799999999999</v>
      </c>
    </row>
    <row r="1708" spans="1:7">
      <c r="A1708" s="91"/>
      <c r="B1708" s="92"/>
      <c r="C1708" s="162"/>
      <c r="D1708" s="92"/>
      <c r="E1708" s="97"/>
      <c r="F1708" s="98"/>
      <c r="G1708" s="96"/>
    </row>
    <row r="1709" spans="1:7">
      <c r="A1709" s="835" t="s">
        <v>1912</v>
      </c>
      <c r="B1709" s="836"/>
      <c r="C1709" s="836"/>
      <c r="D1709" s="836"/>
      <c r="E1709" s="836"/>
      <c r="F1709" s="836"/>
      <c r="G1709" s="837"/>
    </row>
    <row r="1710" spans="1:7">
      <c r="A1710" s="84" t="s">
        <v>1903</v>
      </c>
      <c r="B1710" s="84" t="s">
        <v>131</v>
      </c>
      <c r="C1710" s="160" t="s">
        <v>1904</v>
      </c>
      <c r="D1710" s="84" t="s">
        <v>167</v>
      </c>
      <c r="E1710" s="85" t="s">
        <v>1905</v>
      </c>
      <c r="F1710" s="86" t="s">
        <v>1906</v>
      </c>
      <c r="G1710" s="86" t="s">
        <v>1907</v>
      </c>
    </row>
    <row r="1711" spans="1:7">
      <c r="A1711" s="87"/>
      <c r="B1711" s="87"/>
      <c r="C1711" s="278" t="s">
        <v>34</v>
      </c>
      <c r="D1711" s="89" t="s">
        <v>34</v>
      </c>
      <c r="E1711" s="88"/>
      <c r="F1711" s="89" t="s">
        <v>34</v>
      </c>
      <c r="G1711" s="89" t="s">
        <v>34</v>
      </c>
    </row>
    <row r="1712" spans="1:7">
      <c r="A1712" s="87"/>
      <c r="B1712" s="87"/>
      <c r="C1712" s="278" t="s">
        <v>34</v>
      </c>
      <c r="D1712" s="89" t="s">
        <v>34</v>
      </c>
      <c r="E1712" s="88"/>
      <c r="F1712" s="89" t="s">
        <v>34</v>
      </c>
      <c r="G1712" s="89" t="s">
        <v>34</v>
      </c>
    </row>
    <row r="1713" spans="1:11">
      <c r="A1713" s="832" t="s">
        <v>1908</v>
      </c>
      <c r="B1713" s="833" t="s">
        <v>1908</v>
      </c>
      <c r="C1713" s="833"/>
      <c r="D1713" s="833"/>
      <c r="E1713" s="833"/>
      <c r="F1713" s="834"/>
      <c r="G1713" s="90" t="s">
        <v>34</v>
      </c>
    </row>
    <row r="1714" spans="1:11" ht="13.5" thickBot="1">
      <c r="A1714" s="91"/>
      <c r="B1714" s="92"/>
      <c r="C1714" s="163"/>
      <c r="D1714" s="99"/>
      <c r="E1714" s="100"/>
      <c r="F1714" s="101"/>
      <c r="G1714" s="102"/>
    </row>
    <row r="1715" spans="1:11" ht="13.5" thickBot="1">
      <c r="A1715" s="838" t="s">
        <v>1259</v>
      </c>
      <c r="B1715" s="839"/>
      <c r="C1715" s="839"/>
      <c r="D1715" s="839"/>
      <c r="E1715" s="839"/>
      <c r="F1715" s="840"/>
      <c r="G1715" s="103">
        <f>SUM(G1713,G1707,G1701)</f>
        <v>726.25890000000004</v>
      </c>
    </row>
    <row r="1718" spans="1:11">
      <c r="A1718" s="237" t="s">
        <v>131</v>
      </c>
      <c r="B1718" s="190" t="s">
        <v>27</v>
      </c>
      <c r="C1718" s="841" t="s">
        <v>1281</v>
      </c>
      <c r="D1718" s="841"/>
      <c r="E1718" s="841"/>
      <c r="F1718" s="841"/>
      <c r="G1718" s="81" t="s">
        <v>127</v>
      </c>
      <c r="I1718" s="480" t="s">
        <v>1901</v>
      </c>
      <c r="J1718" s="80"/>
      <c r="K1718" s="80"/>
    </row>
    <row r="1719" spans="1:11" ht="50.1" customHeight="1">
      <c r="A1719" s="179" t="s">
        <v>540</v>
      </c>
      <c r="B1719" s="82"/>
      <c r="C1719" s="830" t="s">
        <v>541</v>
      </c>
      <c r="D1719" s="831"/>
      <c r="E1719" s="831"/>
      <c r="F1719" s="186">
        <f>G1739</f>
        <v>597.16939000000002</v>
      </c>
      <c r="G1719" s="83" t="s">
        <v>167</v>
      </c>
      <c r="I1719" s="481"/>
      <c r="J1719" s="272"/>
      <c r="K1719" s="272"/>
    </row>
    <row r="1720" spans="1:11">
      <c r="A1720" s="818" t="s">
        <v>1902</v>
      </c>
      <c r="B1720" s="819"/>
      <c r="C1720" s="819"/>
      <c r="D1720" s="819"/>
      <c r="E1720" s="819"/>
      <c r="F1720" s="819"/>
      <c r="G1720" s="820"/>
    </row>
    <row r="1721" spans="1:11">
      <c r="A1721" s="84" t="s">
        <v>1903</v>
      </c>
      <c r="B1721" s="84" t="s">
        <v>131</v>
      </c>
      <c r="C1721" s="160" t="s">
        <v>1904</v>
      </c>
      <c r="D1721" s="84" t="s">
        <v>167</v>
      </c>
      <c r="E1721" s="85" t="s">
        <v>1905</v>
      </c>
      <c r="F1721" s="86" t="s">
        <v>1906</v>
      </c>
      <c r="G1721" s="86" t="s">
        <v>1907</v>
      </c>
    </row>
    <row r="1722" spans="1:11" ht="48">
      <c r="A1722" s="87" t="s">
        <v>1917</v>
      </c>
      <c r="B1722" s="87" t="s">
        <v>2031</v>
      </c>
      <c r="C1722" s="278" t="s">
        <v>541</v>
      </c>
      <c r="D1722" s="89" t="s">
        <v>167</v>
      </c>
      <c r="E1722" s="88">
        <v>1</v>
      </c>
      <c r="F1722" s="89">
        <f>'Mapa Cotações'!M69</f>
        <v>546.01827000000003</v>
      </c>
      <c r="G1722" s="89">
        <f>F1722*E1722</f>
        <v>546.01827000000003</v>
      </c>
    </row>
    <row r="1723" spans="1:11" ht="24">
      <c r="A1723" s="87" t="s">
        <v>2</v>
      </c>
      <c r="B1723" s="87">
        <v>7307</v>
      </c>
      <c r="C1723" s="278" t="s">
        <v>1961</v>
      </c>
      <c r="D1723" s="89" t="s">
        <v>1962</v>
      </c>
      <c r="E1723" s="88">
        <v>8.0000000000000002E-3</v>
      </c>
      <c r="F1723" s="89">
        <v>51.77</v>
      </c>
      <c r="G1723" s="89">
        <v>0.41416000000000003</v>
      </c>
    </row>
    <row r="1724" spans="1:11">
      <c r="A1724" s="87" t="s">
        <v>2</v>
      </c>
      <c r="B1724" s="87">
        <v>3148</v>
      </c>
      <c r="C1724" s="278" t="s">
        <v>1956</v>
      </c>
      <c r="D1724" s="89" t="s">
        <v>1930</v>
      </c>
      <c r="E1724" s="88">
        <v>5.1999999999999998E-2</v>
      </c>
      <c r="F1724" s="89">
        <v>12.76</v>
      </c>
      <c r="G1724" s="89">
        <v>0.66352</v>
      </c>
    </row>
    <row r="1725" spans="1:11">
      <c r="A1725" s="832" t="s">
        <v>1908</v>
      </c>
      <c r="B1725" s="833"/>
      <c r="C1725" s="833"/>
      <c r="D1725" s="833"/>
      <c r="E1725" s="833"/>
      <c r="F1725" s="834"/>
      <c r="G1725" s="90">
        <f>SUM(G1722:G1724)</f>
        <v>547.09595000000002</v>
      </c>
    </row>
    <row r="1726" spans="1:11">
      <c r="A1726" s="91"/>
      <c r="B1726" s="92"/>
      <c r="C1726" s="161"/>
      <c r="D1726" s="93"/>
      <c r="E1726" s="94"/>
      <c r="F1726" s="95"/>
      <c r="G1726" s="96"/>
    </row>
    <row r="1727" spans="1:11">
      <c r="A1727" s="835" t="s">
        <v>1909</v>
      </c>
      <c r="B1727" s="836"/>
      <c r="C1727" s="836"/>
      <c r="D1727" s="836"/>
      <c r="E1727" s="836"/>
      <c r="F1727" s="836"/>
      <c r="G1727" s="837"/>
    </row>
    <row r="1728" spans="1:11">
      <c r="A1728" s="84" t="s">
        <v>1903</v>
      </c>
      <c r="B1728" s="84" t="s">
        <v>131</v>
      </c>
      <c r="C1728" s="160" t="s">
        <v>1904</v>
      </c>
      <c r="D1728" s="84" t="s">
        <v>167</v>
      </c>
      <c r="E1728" s="85" t="s">
        <v>1905</v>
      </c>
      <c r="F1728" s="86" t="s">
        <v>1906</v>
      </c>
      <c r="G1728" s="86" t="s">
        <v>1907</v>
      </c>
    </row>
    <row r="1729" spans="1:11" ht="24">
      <c r="A1729" s="87" t="s">
        <v>2</v>
      </c>
      <c r="B1729" s="87">
        <v>88248</v>
      </c>
      <c r="C1729" s="278" t="s">
        <v>1947</v>
      </c>
      <c r="D1729" s="89" t="s">
        <v>137</v>
      </c>
      <c r="E1729" s="88">
        <v>1.048</v>
      </c>
      <c r="F1729" s="89">
        <v>21.45</v>
      </c>
      <c r="G1729" s="89">
        <v>22.479600000000001</v>
      </c>
    </row>
    <row r="1730" spans="1:11" ht="24">
      <c r="A1730" s="87" t="s">
        <v>2</v>
      </c>
      <c r="B1730" s="87">
        <v>88267</v>
      </c>
      <c r="C1730" s="278" t="s">
        <v>1949</v>
      </c>
      <c r="D1730" s="89" t="s">
        <v>137</v>
      </c>
      <c r="E1730" s="88">
        <v>1.048</v>
      </c>
      <c r="F1730" s="89">
        <v>26.33</v>
      </c>
      <c r="G1730" s="89">
        <v>27.59384</v>
      </c>
    </row>
    <row r="1731" spans="1:11">
      <c r="A1731" s="832" t="s">
        <v>1908</v>
      </c>
      <c r="B1731" s="833"/>
      <c r="C1731" s="833"/>
      <c r="D1731" s="833"/>
      <c r="E1731" s="833"/>
      <c r="F1731" s="834"/>
      <c r="G1731" s="90">
        <f>SUM(G1729:G1730)</f>
        <v>50.073440000000005</v>
      </c>
    </row>
    <row r="1732" spans="1:11">
      <c r="A1732" s="91"/>
      <c r="B1732" s="92"/>
      <c r="C1732" s="162"/>
      <c r="D1732" s="92"/>
      <c r="E1732" s="97"/>
      <c r="F1732" s="98"/>
      <c r="G1732" s="96"/>
    </row>
    <row r="1733" spans="1:11">
      <c r="A1733" s="835" t="s">
        <v>1912</v>
      </c>
      <c r="B1733" s="836"/>
      <c r="C1733" s="836"/>
      <c r="D1733" s="836"/>
      <c r="E1733" s="836"/>
      <c r="F1733" s="836"/>
      <c r="G1733" s="837"/>
    </row>
    <row r="1734" spans="1:11">
      <c r="A1734" s="84" t="s">
        <v>1903</v>
      </c>
      <c r="B1734" s="84" t="s">
        <v>131</v>
      </c>
      <c r="C1734" s="160" t="s">
        <v>1904</v>
      </c>
      <c r="D1734" s="84" t="s">
        <v>167</v>
      </c>
      <c r="E1734" s="85" t="s">
        <v>1905</v>
      </c>
      <c r="F1734" s="86" t="s">
        <v>1906</v>
      </c>
      <c r="G1734" s="86" t="s">
        <v>1907</v>
      </c>
    </row>
    <row r="1735" spans="1:11">
      <c r="A1735" s="87"/>
      <c r="B1735" s="87"/>
      <c r="C1735" s="278" t="s">
        <v>34</v>
      </c>
      <c r="D1735" s="89" t="s">
        <v>34</v>
      </c>
      <c r="E1735" s="88"/>
      <c r="F1735" s="89" t="s">
        <v>34</v>
      </c>
      <c r="G1735" s="89" t="s">
        <v>34</v>
      </c>
    </row>
    <row r="1736" spans="1:11">
      <c r="A1736" s="87"/>
      <c r="B1736" s="87"/>
      <c r="C1736" s="278" t="s">
        <v>34</v>
      </c>
      <c r="D1736" s="89" t="s">
        <v>34</v>
      </c>
      <c r="E1736" s="88"/>
      <c r="F1736" s="89" t="s">
        <v>34</v>
      </c>
      <c r="G1736" s="89" t="s">
        <v>34</v>
      </c>
    </row>
    <row r="1737" spans="1:11">
      <c r="A1737" s="832" t="s">
        <v>1908</v>
      </c>
      <c r="B1737" s="833" t="s">
        <v>1908</v>
      </c>
      <c r="C1737" s="833"/>
      <c r="D1737" s="833"/>
      <c r="E1737" s="833"/>
      <c r="F1737" s="834"/>
      <c r="G1737" s="90" t="s">
        <v>34</v>
      </c>
    </row>
    <row r="1738" spans="1:11" ht="13.5" thickBot="1">
      <c r="A1738" s="91"/>
      <c r="B1738" s="92"/>
      <c r="C1738" s="163"/>
      <c r="D1738" s="99"/>
      <c r="E1738" s="100"/>
      <c r="F1738" s="101"/>
      <c r="G1738" s="102"/>
    </row>
    <row r="1739" spans="1:11" ht="13.5" thickBot="1">
      <c r="A1739" s="838" t="s">
        <v>1259</v>
      </c>
      <c r="B1739" s="839"/>
      <c r="C1739" s="839"/>
      <c r="D1739" s="839"/>
      <c r="E1739" s="839"/>
      <c r="F1739" s="840"/>
      <c r="G1739" s="103">
        <f>SUM(G1737,G1731,G1725)</f>
        <v>597.16939000000002</v>
      </c>
    </row>
    <row r="1742" spans="1:11">
      <c r="A1742" s="237" t="s">
        <v>131</v>
      </c>
      <c r="B1742" s="190" t="s">
        <v>27</v>
      </c>
      <c r="C1742" s="841" t="s">
        <v>1281</v>
      </c>
      <c r="D1742" s="841"/>
      <c r="E1742" s="841"/>
      <c r="F1742" s="841"/>
      <c r="G1742" s="81" t="s">
        <v>127</v>
      </c>
      <c r="I1742" s="480" t="s">
        <v>1901</v>
      </c>
      <c r="J1742" s="80"/>
      <c r="K1742" s="80"/>
    </row>
    <row r="1743" spans="1:11" ht="50.1" customHeight="1">
      <c r="A1743" s="179" t="s">
        <v>543</v>
      </c>
      <c r="B1743" s="82"/>
      <c r="C1743" s="830" t="s">
        <v>544</v>
      </c>
      <c r="D1743" s="831"/>
      <c r="E1743" s="831"/>
      <c r="F1743" s="186">
        <f>G1763</f>
        <v>457.12333999999998</v>
      </c>
      <c r="G1743" s="83" t="s">
        <v>167</v>
      </c>
      <c r="I1743" s="481"/>
      <c r="J1743" s="272"/>
      <c r="K1743" s="272"/>
    </row>
    <row r="1744" spans="1:11">
      <c r="A1744" s="818" t="s">
        <v>1902</v>
      </c>
      <c r="B1744" s="819"/>
      <c r="C1744" s="819"/>
      <c r="D1744" s="819"/>
      <c r="E1744" s="819"/>
      <c r="F1744" s="819"/>
      <c r="G1744" s="820"/>
    </row>
    <row r="1745" spans="1:7">
      <c r="A1745" s="84" t="s">
        <v>1903</v>
      </c>
      <c r="B1745" s="84" t="s">
        <v>131</v>
      </c>
      <c r="C1745" s="160" t="s">
        <v>1904</v>
      </c>
      <c r="D1745" s="84" t="s">
        <v>167</v>
      </c>
      <c r="E1745" s="85" t="s">
        <v>1905</v>
      </c>
      <c r="F1745" s="86" t="s">
        <v>1906</v>
      </c>
      <c r="G1745" s="86" t="s">
        <v>1907</v>
      </c>
    </row>
    <row r="1746" spans="1:7" ht="48">
      <c r="A1746" s="87" t="s">
        <v>1917</v>
      </c>
      <c r="B1746" s="87" t="s">
        <v>2032</v>
      </c>
      <c r="C1746" s="278" t="s">
        <v>544</v>
      </c>
      <c r="D1746" s="89" t="s">
        <v>167</v>
      </c>
      <c r="E1746" s="88">
        <v>1</v>
      </c>
      <c r="F1746" s="89">
        <f>'Mapa Cotações'!M70</f>
        <v>418.76</v>
      </c>
      <c r="G1746" s="89">
        <f>F1746*E1746</f>
        <v>418.76</v>
      </c>
    </row>
    <row r="1747" spans="1:7" ht="24">
      <c r="A1747" s="87" t="s">
        <v>2</v>
      </c>
      <c r="B1747" s="87">
        <v>7307</v>
      </c>
      <c r="C1747" s="278" t="s">
        <v>1961</v>
      </c>
      <c r="D1747" s="89" t="s">
        <v>1962</v>
      </c>
      <c r="E1747" s="88">
        <v>6.0000000000000001E-3</v>
      </c>
      <c r="F1747" s="89">
        <v>51.77</v>
      </c>
      <c r="G1747" s="89">
        <v>0.31062000000000001</v>
      </c>
    </row>
    <row r="1748" spans="1:7">
      <c r="A1748" s="87" t="s">
        <v>2</v>
      </c>
      <c r="B1748" s="87">
        <v>3148</v>
      </c>
      <c r="C1748" s="278" t="s">
        <v>1956</v>
      </c>
      <c r="D1748" s="89" t="s">
        <v>1930</v>
      </c>
      <c r="E1748" s="88">
        <v>3.9E-2</v>
      </c>
      <c r="F1748" s="89">
        <v>12.76</v>
      </c>
      <c r="G1748" s="89">
        <v>0.49763999999999997</v>
      </c>
    </row>
    <row r="1749" spans="1:7">
      <c r="A1749" s="832" t="s">
        <v>1908</v>
      </c>
      <c r="B1749" s="833"/>
      <c r="C1749" s="833"/>
      <c r="D1749" s="833"/>
      <c r="E1749" s="833"/>
      <c r="F1749" s="834"/>
      <c r="G1749" s="90">
        <f>SUM(G1746:G1748)</f>
        <v>419.56825999999995</v>
      </c>
    </row>
    <row r="1750" spans="1:7">
      <c r="A1750" s="91"/>
      <c r="B1750" s="92"/>
      <c r="C1750" s="161"/>
      <c r="D1750" s="93"/>
      <c r="E1750" s="94"/>
      <c r="F1750" s="95"/>
      <c r="G1750" s="96"/>
    </row>
    <row r="1751" spans="1:7">
      <c r="A1751" s="835" t="s">
        <v>1909</v>
      </c>
      <c r="B1751" s="836"/>
      <c r="C1751" s="836"/>
      <c r="D1751" s="836"/>
      <c r="E1751" s="836"/>
      <c r="F1751" s="836"/>
      <c r="G1751" s="837"/>
    </row>
    <row r="1752" spans="1:7">
      <c r="A1752" s="84" t="s">
        <v>1903</v>
      </c>
      <c r="B1752" s="84" t="s">
        <v>131</v>
      </c>
      <c r="C1752" s="160" t="s">
        <v>1904</v>
      </c>
      <c r="D1752" s="84" t="s">
        <v>167</v>
      </c>
      <c r="E1752" s="85" t="s">
        <v>1905</v>
      </c>
      <c r="F1752" s="86" t="s">
        <v>1906</v>
      </c>
      <c r="G1752" s="86" t="s">
        <v>1907</v>
      </c>
    </row>
    <row r="1753" spans="1:7" ht="24">
      <c r="A1753" s="87" t="s">
        <v>2</v>
      </c>
      <c r="B1753" s="87">
        <v>88248</v>
      </c>
      <c r="C1753" s="278" t="s">
        <v>1947</v>
      </c>
      <c r="D1753" s="89" t="s">
        <v>137</v>
      </c>
      <c r="E1753" s="88">
        <v>0.78600000000000003</v>
      </c>
      <c r="F1753" s="89">
        <v>21.45</v>
      </c>
      <c r="G1753" s="89">
        <v>16.8597</v>
      </c>
    </row>
    <row r="1754" spans="1:7" ht="24">
      <c r="A1754" s="87" t="s">
        <v>2</v>
      </c>
      <c r="B1754" s="87">
        <v>88267</v>
      </c>
      <c r="C1754" s="278" t="s">
        <v>1949</v>
      </c>
      <c r="D1754" s="89" t="s">
        <v>137</v>
      </c>
      <c r="E1754" s="88">
        <v>0.78600000000000003</v>
      </c>
      <c r="F1754" s="89">
        <v>26.33</v>
      </c>
      <c r="G1754" s="89">
        <v>20.69538</v>
      </c>
    </row>
    <row r="1755" spans="1:7">
      <c r="A1755" s="832" t="s">
        <v>1908</v>
      </c>
      <c r="B1755" s="833"/>
      <c r="C1755" s="833"/>
      <c r="D1755" s="833"/>
      <c r="E1755" s="833"/>
      <c r="F1755" s="834"/>
      <c r="G1755" s="90">
        <f>SUM(G1753:G1754)</f>
        <v>37.555080000000004</v>
      </c>
    </row>
    <row r="1756" spans="1:7">
      <c r="A1756" s="91"/>
      <c r="B1756" s="92"/>
      <c r="C1756" s="162"/>
      <c r="D1756" s="92"/>
      <c r="E1756" s="97"/>
      <c r="F1756" s="98"/>
      <c r="G1756" s="96"/>
    </row>
    <row r="1757" spans="1:7">
      <c r="A1757" s="835" t="s">
        <v>1912</v>
      </c>
      <c r="B1757" s="836"/>
      <c r="C1757" s="836"/>
      <c r="D1757" s="836"/>
      <c r="E1757" s="836"/>
      <c r="F1757" s="836"/>
      <c r="G1757" s="837"/>
    </row>
    <row r="1758" spans="1:7">
      <c r="A1758" s="84" t="s">
        <v>1903</v>
      </c>
      <c r="B1758" s="84" t="s">
        <v>131</v>
      </c>
      <c r="C1758" s="160" t="s">
        <v>1904</v>
      </c>
      <c r="D1758" s="84" t="s">
        <v>167</v>
      </c>
      <c r="E1758" s="85" t="s">
        <v>1905</v>
      </c>
      <c r="F1758" s="86" t="s">
        <v>1906</v>
      </c>
      <c r="G1758" s="86" t="s">
        <v>1907</v>
      </c>
    </row>
    <row r="1759" spans="1:7">
      <c r="A1759" s="87"/>
      <c r="B1759" s="87"/>
      <c r="C1759" s="278" t="s">
        <v>34</v>
      </c>
      <c r="D1759" s="89" t="s">
        <v>34</v>
      </c>
      <c r="E1759" s="88"/>
      <c r="F1759" s="89" t="s">
        <v>34</v>
      </c>
      <c r="G1759" s="89" t="s">
        <v>34</v>
      </c>
    </row>
    <row r="1760" spans="1:7">
      <c r="A1760" s="87"/>
      <c r="B1760" s="87"/>
      <c r="C1760" s="278" t="s">
        <v>34</v>
      </c>
      <c r="D1760" s="89" t="s">
        <v>34</v>
      </c>
      <c r="E1760" s="88"/>
      <c r="F1760" s="89" t="s">
        <v>34</v>
      </c>
      <c r="G1760" s="89" t="s">
        <v>34</v>
      </c>
    </row>
    <row r="1761" spans="1:11">
      <c r="A1761" s="832" t="s">
        <v>1908</v>
      </c>
      <c r="B1761" s="833" t="s">
        <v>1908</v>
      </c>
      <c r="C1761" s="833"/>
      <c r="D1761" s="833"/>
      <c r="E1761" s="833"/>
      <c r="F1761" s="834"/>
      <c r="G1761" s="90" t="s">
        <v>34</v>
      </c>
    </row>
    <row r="1762" spans="1:11" ht="13.5" thickBot="1">
      <c r="A1762" s="91"/>
      <c r="B1762" s="92"/>
      <c r="C1762" s="163"/>
      <c r="D1762" s="99"/>
      <c r="E1762" s="100"/>
      <c r="F1762" s="101"/>
      <c r="G1762" s="102"/>
    </row>
    <row r="1763" spans="1:11" ht="13.5" thickBot="1">
      <c r="A1763" s="838" t="s">
        <v>1259</v>
      </c>
      <c r="B1763" s="839"/>
      <c r="C1763" s="839"/>
      <c r="D1763" s="839"/>
      <c r="E1763" s="839"/>
      <c r="F1763" s="840"/>
      <c r="G1763" s="103">
        <f>SUM(G1761,G1755,G1749)</f>
        <v>457.12333999999998</v>
      </c>
    </row>
    <row r="1766" spans="1:11">
      <c r="A1766" s="237" t="s">
        <v>131</v>
      </c>
      <c r="B1766" s="190" t="s">
        <v>27</v>
      </c>
      <c r="C1766" s="841" t="s">
        <v>1281</v>
      </c>
      <c r="D1766" s="841"/>
      <c r="E1766" s="841"/>
      <c r="F1766" s="841"/>
      <c r="G1766" s="81" t="s">
        <v>127</v>
      </c>
      <c r="I1766" s="480" t="s">
        <v>1901</v>
      </c>
      <c r="J1766" s="80"/>
      <c r="K1766" s="80"/>
    </row>
    <row r="1767" spans="1:11" ht="50.1" customHeight="1">
      <c r="A1767" s="179" t="s">
        <v>546</v>
      </c>
      <c r="B1767" s="82"/>
      <c r="C1767" s="830" t="s">
        <v>547</v>
      </c>
      <c r="D1767" s="831"/>
      <c r="E1767" s="831"/>
      <c r="F1767" s="186">
        <f>G1787</f>
        <v>335.54444000000001</v>
      </c>
      <c r="G1767" s="83" t="s">
        <v>167</v>
      </c>
      <c r="I1767" s="481"/>
      <c r="J1767" s="272"/>
      <c r="K1767" s="272"/>
    </row>
    <row r="1768" spans="1:11">
      <c r="A1768" s="818" t="s">
        <v>1902</v>
      </c>
      <c r="B1768" s="819"/>
      <c r="C1768" s="819"/>
      <c r="D1768" s="819"/>
      <c r="E1768" s="819"/>
      <c r="F1768" s="819"/>
      <c r="G1768" s="820"/>
    </row>
    <row r="1769" spans="1:11">
      <c r="A1769" s="84" t="s">
        <v>1903</v>
      </c>
      <c r="B1769" s="84" t="s">
        <v>131</v>
      </c>
      <c r="C1769" s="160" t="s">
        <v>1904</v>
      </c>
      <c r="D1769" s="84" t="s">
        <v>167</v>
      </c>
      <c r="E1769" s="85" t="s">
        <v>1905</v>
      </c>
      <c r="F1769" s="86" t="s">
        <v>1906</v>
      </c>
      <c r="G1769" s="86" t="s">
        <v>1907</v>
      </c>
    </row>
    <row r="1770" spans="1:11" ht="48">
      <c r="A1770" s="87" t="s">
        <v>1917</v>
      </c>
      <c r="B1770" s="87" t="s">
        <v>2033</v>
      </c>
      <c r="C1770" s="278" t="s">
        <v>547</v>
      </c>
      <c r="D1770" s="89" t="s">
        <v>167</v>
      </c>
      <c r="E1770" s="88">
        <v>1</v>
      </c>
      <c r="F1770" s="89">
        <f>'Mapa Cotações'!M71</f>
        <v>286.27</v>
      </c>
      <c r="G1770" s="89">
        <f>F1770*E1770</f>
        <v>286.27</v>
      </c>
    </row>
    <row r="1771" spans="1:11" ht="24">
      <c r="A1771" s="87" t="s">
        <v>2</v>
      </c>
      <c r="B1771" s="87">
        <v>7307</v>
      </c>
      <c r="C1771" s="278" t="s">
        <v>1961</v>
      </c>
      <c r="D1771" s="89" t="s">
        <v>1962</v>
      </c>
      <c r="E1771" s="88">
        <v>4.0000000000000001E-3</v>
      </c>
      <c r="F1771" s="89">
        <v>51.77</v>
      </c>
      <c r="G1771" s="89">
        <v>0.20708000000000001</v>
      </c>
    </row>
    <row r="1772" spans="1:11">
      <c r="A1772" s="87" t="s">
        <v>2</v>
      </c>
      <c r="B1772" s="87">
        <v>3148</v>
      </c>
      <c r="C1772" s="278" t="s">
        <v>1956</v>
      </c>
      <c r="D1772" s="89" t="s">
        <v>1930</v>
      </c>
      <c r="E1772" s="88">
        <v>2.5999999999999999E-2</v>
      </c>
      <c r="F1772" s="89">
        <v>12.76</v>
      </c>
      <c r="G1772" s="89">
        <v>0.33176</v>
      </c>
    </row>
    <row r="1773" spans="1:11">
      <c r="A1773" s="832" t="s">
        <v>1908</v>
      </c>
      <c r="B1773" s="833"/>
      <c r="C1773" s="833"/>
      <c r="D1773" s="833"/>
      <c r="E1773" s="833"/>
      <c r="F1773" s="834"/>
      <c r="G1773" s="90">
        <f>SUM(G1770:G1772)</f>
        <v>286.80883999999998</v>
      </c>
    </row>
    <row r="1774" spans="1:11">
      <c r="A1774" s="91"/>
      <c r="B1774" s="92"/>
      <c r="C1774" s="161"/>
      <c r="D1774" s="93"/>
      <c r="E1774" s="94"/>
      <c r="F1774" s="95"/>
      <c r="G1774" s="96"/>
    </row>
    <row r="1775" spans="1:11">
      <c r="A1775" s="835" t="s">
        <v>1909</v>
      </c>
      <c r="B1775" s="836"/>
      <c r="C1775" s="836"/>
      <c r="D1775" s="836"/>
      <c r="E1775" s="836"/>
      <c r="F1775" s="836"/>
      <c r="G1775" s="837"/>
    </row>
    <row r="1776" spans="1:11">
      <c r="A1776" s="84" t="s">
        <v>1903</v>
      </c>
      <c r="B1776" s="84" t="s">
        <v>131</v>
      </c>
      <c r="C1776" s="160" t="s">
        <v>1904</v>
      </c>
      <c r="D1776" s="84" t="s">
        <v>167</v>
      </c>
      <c r="E1776" s="85" t="s">
        <v>1905</v>
      </c>
      <c r="F1776" s="86" t="s">
        <v>1906</v>
      </c>
      <c r="G1776" s="86" t="s">
        <v>1907</v>
      </c>
    </row>
    <row r="1777" spans="1:11" ht="24">
      <c r="A1777" s="87" t="s">
        <v>2</v>
      </c>
      <c r="B1777" s="87">
        <v>88248</v>
      </c>
      <c r="C1777" s="278" t="s">
        <v>1947</v>
      </c>
      <c r="D1777" s="89" t="s">
        <v>137</v>
      </c>
      <c r="E1777" s="88">
        <v>1.02</v>
      </c>
      <c r="F1777" s="89">
        <v>21.45</v>
      </c>
      <c r="G1777" s="89">
        <f>F1777*E1777</f>
        <v>21.879000000000001</v>
      </c>
    </row>
    <row r="1778" spans="1:11" ht="24">
      <c r="A1778" s="87" t="s">
        <v>2</v>
      </c>
      <c r="B1778" s="87">
        <v>88267</v>
      </c>
      <c r="C1778" s="278" t="s">
        <v>1949</v>
      </c>
      <c r="D1778" s="89" t="s">
        <v>137</v>
      </c>
      <c r="E1778" s="88">
        <v>1.02</v>
      </c>
      <c r="F1778" s="89">
        <v>26.33</v>
      </c>
      <c r="G1778" s="89">
        <f>F1778*E1778</f>
        <v>26.8566</v>
      </c>
    </row>
    <row r="1779" spans="1:11">
      <c r="A1779" s="832" t="s">
        <v>1908</v>
      </c>
      <c r="B1779" s="833"/>
      <c r="C1779" s="833"/>
      <c r="D1779" s="833"/>
      <c r="E1779" s="833"/>
      <c r="F1779" s="834"/>
      <c r="G1779" s="90">
        <f>SUM(G1777:G1778)</f>
        <v>48.735600000000005</v>
      </c>
    </row>
    <row r="1780" spans="1:11">
      <c r="A1780" s="91"/>
      <c r="B1780" s="92"/>
      <c r="C1780" s="162"/>
      <c r="D1780" s="92"/>
      <c r="E1780" s="97"/>
      <c r="F1780" s="98"/>
      <c r="G1780" s="96"/>
    </row>
    <row r="1781" spans="1:11">
      <c r="A1781" s="835" t="s">
        <v>1912</v>
      </c>
      <c r="B1781" s="836"/>
      <c r="C1781" s="836"/>
      <c r="D1781" s="836"/>
      <c r="E1781" s="836"/>
      <c r="F1781" s="836"/>
      <c r="G1781" s="837"/>
    </row>
    <row r="1782" spans="1:11">
      <c r="A1782" s="84" t="s">
        <v>1903</v>
      </c>
      <c r="B1782" s="84" t="s">
        <v>131</v>
      </c>
      <c r="C1782" s="160" t="s">
        <v>1904</v>
      </c>
      <c r="D1782" s="84" t="s">
        <v>167</v>
      </c>
      <c r="E1782" s="85" t="s">
        <v>1905</v>
      </c>
      <c r="F1782" s="86" t="s">
        <v>1906</v>
      </c>
      <c r="G1782" s="86" t="s">
        <v>1907</v>
      </c>
    </row>
    <row r="1783" spans="1:11">
      <c r="A1783" s="87"/>
      <c r="B1783" s="87"/>
      <c r="C1783" s="278" t="s">
        <v>34</v>
      </c>
      <c r="D1783" s="89" t="s">
        <v>34</v>
      </c>
      <c r="E1783" s="88"/>
      <c r="F1783" s="89" t="s">
        <v>34</v>
      </c>
      <c r="G1783" s="89" t="s">
        <v>34</v>
      </c>
    </row>
    <row r="1784" spans="1:11">
      <c r="A1784" s="87"/>
      <c r="B1784" s="87"/>
      <c r="C1784" s="278" t="s">
        <v>34</v>
      </c>
      <c r="D1784" s="89" t="s">
        <v>34</v>
      </c>
      <c r="E1784" s="88"/>
      <c r="F1784" s="89" t="s">
        <v>34</v>
      </c>
      <c r="G1784" s="89" t="s">
        <v>34</v>
      </c>
    </row>
    <row r="1785" spans="1:11">
      <c r="A1785" s="832" t="s">
        <v>1908</v>
      </c>
      <c r="B1785" s="833" t="s">
        <v>1908</v>
      </c>
      <c r="C1785" s="833"/>
      <c r="D1785" s="833"/>
      <c r="E1785" s="833"/>
      <c r="F1785" s="834"/>
      <c r="G1785" s="90" t="s">
        <v>34</v>
      </c>
    </row>
    <row r="1786" spans="1:11" ht="13.5" thickBot="1">
      <c r="A1786" s="91"/>
      <c r="B1786" s="92"/>
      <c r="C1786" s="163"/>
      <c r="D1786" s="99"/>
      <c r="E1786" s="100"/>
      <c r="F1786" s="101"/>
      <c r="G1786" s="102"/>
    </row>
    <row r="1787" spans="1:11" ht="13.5" thickBot="1">
      <c r="A1787" s="838" t="s">
        <v>1259</v>
      </c>
      <c r="B1787" s="839"/>
      <c r="C1787" s="839"/>
      <c r="D1787" s="839"/>
      <c r="E1787" s="839"/>
      <c r="F1787" s="840"/>
      <c r="G1787" s="103">
        <f>SUM(G1785,G1779,G1773)</f>
        <v>335.54444000000001</v>
      </c>
    </row>
    <row r="1790" spans="1:11">
      <c r="A1790" s="237" t="s">
        <v>131</v>
      </c>
      <c r="B1790" s="190" t="s">
        <v>27</v>
      </c>
      <c r="C1790" s="841" t="s">
        <v>1281</v>
      </c>
      <c r="D1790" s="841"/>
      <c r="E1790" s="841"/>
      <c r="F1790" s="841"/>
      <c r="G1790" s="81" t="s">
        <v>127</v>
      </c>
      <c r="I1790" s="480" t="s">
        <v>1901</v>
      </c>
      <c r="J1790" s="80"/>
      <c r="K1790" s="80"/>
    </row>
    <row r="1791" spans="1:11" ht="50.1" customHeight="1">
      <c r="A1791" s="179" t="s">
        <v>549</v>
      </c>
      <c r="B1791" s="82"/>
      <c r="C1791" s="830" t="s">
        <v>550</v>
      </c>
      <c r="D1791" s="831"/>
      <c r="E1791" s="831"/>
      <c r="F1791" s="186">
        <f>G1810</f>
        <v>781.56949999999995</v>
      </c>
      <c r="G1791" s="83" t="s">
        <v>167</v>
      </c>
      <c r="I1791" s="481"/>
      <c r="J1791" s="272"/>
      <c r="K1791" s="272"/>
    </row>
    <row r="1792" spans="1:11">
      <c r="A1792" s="818" t="s">
        <v>1902</v>
      </c>
      <c r="B1792" s="819"/>
      <c r="C1792" s="819"/>
      <c r="D1792" s="819"/>
      <c r="E1792" s="819"/>
      <c r="F1792" s="819"/>
      <c r="G1792" s="820"/>
    </row>
    <row r="1793" spans="1:7">
      <c r="A1793" s="84" t="s">
        <v>1903</v>
      </c>
      <c r="B1793" s="84" t="s">
        <v>131</v>
      </c>
      <c r="C1793" s="160" t="s">
        <v>1904</v>
      </c>
      <c r="D1793" s="84" t="s">
        <v>167</v>
      </c>
      <c r="E1793" s="85" t="s">
        <v>1905</v>
      </c>
      <c r="F1793" s="86" t="s">
        <v>1906</v>
      </c>
      <c r="G1793" s="86" t="s">
        <v>1907</v>
      </c>
    </row>
    <row r="1794" spans="1:7" ht="48">
      <c r="A1794" s="87" t="s">
        <v>1917</v>
      </c>
      <c r="B1794" s="87" t="s">
        <v>2034</v>
      </c>
      <c r="C1794" s="278" t="s">
        <v>550</v>
      </c>
      <c r="D1794" s="89" t="s">
        <v>167</v>
      </c>
      <c r="E1794" s="88">
        <v>1</v>
      </c>
      <c r="F1794" s="89">
        <f>'Mapa Cotações'!M72</f>
        <v>762.45749999999998</v>
      </c>
      <c r="G1794" s="89">
        <f>F1794*E1794</f>
        <v>762.45749999999998</v>
      </c>
    </row>
    <row r="1795" spans="1:7">
      <c r="A1795" s="87"/>
      <c r="B1795" s="87"/>
      <c r="C1795" s="278" t="s">
        <v>34</v>
      </c>
      <c r="D1795" s="89" t="s">
        <v>34</v>
      </c>
      <c r="E1795" s="88"/>
      <c r="F1795" s="89" t="s">
        <v>34</v>
      </c>
      <c r="G1795" s="89" t="s">
        <v>34</v>
      </c>
    </row>
    <row r="1796" spans="1:7">
      <c r="A1796" s="832" t="s">
        <v>1908</v>
      </c>
      <c r="B1796" s="833"/>
      <c r="C1796" s="833"/>
      <c r="D1796" s="833"/>
      <c r="E1796" s="833"/>
      <c r="F1796" s="834"/>
      <c r="G1796" s="90">
        <f>SUM(G1794:G1795)</f>
        <v>762.45749999999998</v>
      </c>
    </row>
    <row r="1797" spans="1:7">
      <c r="A1797" s="91"/>
      <c r="B1797" s="92"/>
      <c r="C1797" s="161"/>
      <c r="D1797" s="93"/>
      <c r="E1797" s="94"/>
      <c r="F1797" s="95"/>
      <c r="G1797" s="96"/>
    </row>
    <row r="1798" spans="1:7">
      <c r="A1798" s="835" t="s">
        <v>1909</v>
      </c>
      <c r="B1798" s="836"/>
      <c r="C1798" s="836"/>
      <c r="D1798" s="836"/>
      <c r="E1798" s="836"/>
      <c r="F1798" s="836"/>
      <c r="G1798" s="837"/>
    </row>
    <row r="1799" spans="1:7">
      <c r="A1799" s="84" t="s">
        <v>1903</v>
      </c>
      <c r="B1799" s="84" t="s">
        <v>131</v>
      </c>
      <c r="C1799" s="160" t="s">
        <v>1904</v>
      </c>
      <c r="D1799" s="84" t="s">
        <v>167</v>
      </c>
      <c r="E1799" s="85" t="s">
        <v>1905</v>
      </c>
      <c r="F1799" s="86" t="s">
        <v>1906</v>
      </c>
      <c r="G1799" s="86" t="s">
        <v>1907</v>
      </c>
    </row>
    <row r="1800" spans="1:7" ht="24">
      <c r="A1800" s="87" t="s">
        <v>2</v>
      </c>
      <c r="B1800" s="87">
        <v>88248</v>
      </c>
      <c r="C1800" s="278" t="s">
        <v>1947</v>
      </c>
      <c r="D1800" s="89" t="s">
        <v>137</v>
      </c>
      <c r="E1800" s="88">
        <v>0.4</v>
      </c>
      <c r="F1800" s="89">
        <v>21.45</v>
      </c>
      <c r="G1800" s="89">
        <f>F1800*E1800</f>
        <v>8.58</v>
      </c>
    </row>
    <row r="1801" spans="1:7" ht="24">
      <c r="A1801" s="87" t="s">
        <v>2</v>
      </c>
      <c r="B1801" s="87">
        <v>88267</v>
      </c>
      <c r="C1801" s="278" t="s">
        <v>1949</v>
      </c>
      <c r="D1801" s="89" t="s">
        <v>137</v>
      </c>
      <c r="E1801" s="88">
        <v>0.4</v>
      </c>
      <c r="F1801" s="89">
        <v>26.33</v>
      </c>
      <c r="G1801" s="89">
        <f>F1801*E1801</f>
        <v>10.532</v>
      </c>
    </row>
    <row r="1802" spans="1:7">
      <c r="A1802" s="832" t="s">
        <v>1908</v>
      </c>
      <c r="B1802" s="833"/>
      <c r="C1802" s="833"/>
      <c r="D1802" s="833"/>
      <c r="E1802" s="833"/>
      <c r="F1802" s="834"/>
      <c r="G1802" s="90">
        <f>SUM(G1800:G1801)</f>
        <v>19.112000000000002</v>
      </c>
    </row>
    <row r="1803" spans="1:7">
      <c r="A1803" s="91"/>
      <c r="B1803" s="92"/>
      <c r="C1803" s="162"/>
      <c r="D1803" s="92"/>
      <c r="E1803" s="97"/>
      <c r="F1803" s="98"/>
      <c r="G1803" s="96"/>
    </row>
    <row r="1804" spans="1:7">
      <c r="A1804" s="835" t="s">
        <v>1912</v>
      </c>
      <c r="B1804" s="836"/>
      <c r="C1804" s="836"/>
      <c r="D1804" s="836"/>
      <c r="E1804" s="836"/>
      <c r="F1804" s="836"/>
      <c r="G1804" s="837"/>
    </row>
    <row r="1805" spans="1:7">
      <c r="A1805" s="84" t="s">
        <v>1903</v>
      </c>
      <c r="B1805" s="84" t="s">
        <v>131</v>
      </c>
      <c r="C1805" s="160" t="s">
        <v>1904</v>
      </c>
      <c r="D1805" s="84" t="s">
        <v>167</v>
      </c>
      <c r="E1805" s="85" t="s">
        <v>1905</v>
      </c>
      <c r="F1805" s="86" t="s">
        <v>1906</v>
      </c>
      <c r="G1805" s="86" t="s">
        <v>1907</v>
      </c>
    </row>
    <row r="1806" spans="1:7">
      <c r="A1806" s="87"/>
      <c r="B1806" s="87"/>
      <c r="C1806" s="278" t="s">
        <v>34</v>
      </c>
      <c r="D1806" s="89" t="s">
        <v>34</v>
      </c>
      <c r="E1806" s="88"/>
      <c r="F1806" s="89" t="s">
        <v>34</v>
      </c>
      <c r="G1806" s="89" t="s">
        <v>34</v>
      </c>
    </row>
    <row r="1807" spans="1:7">
      <c r="A1807" s="87"/>
      <c r="B1807" s="87"/>
      <c r="C1807" s="278" t="s">
        <v>34</v>
      </c>
      <c r="D1807" s="89" t="s">
        <v>34</v>
      </c>
      <c r="E1807" s="88"/>
      <c r="F1807" s="89" t="s">
        <v>34</v>
      </c>
      <c r="G1807" s="89" t="s">
        <v>34</v>
      </c>
    </row>
    <row r="1808" spans="1:7">
      <c r="A1808" s="832" t="s">
        <v>1908</v>
      </c>
      <c r="B1808" s="833" t="s">
        <v>1908</v>
      </c>
      <c r="C1808" s="833"/>
      <c r="D1808" s="833"/>
      <c r="E1808" s="833"/>
      <c r="F1808" s="834"/>
      <c r="G1808" s="90" t="s">
        <v>34</v>
      </c>
    </row>
    <row r="1809" spans="1:11" ht="13.5" thickBot="1">
      <c r="A1809" s="91"/>
      <c r="B1809" s="92"/>
      <c r="C1809" s="163"/>
      <c r="D1809" s="99"/>
      <c r="E1809" s="100"/>
      <c r="F1809" s="101"/>
      <c r="G1809" s="102"/>
    </row>
    <row r="1810" spans="1:11" ht="13.5" thickBot="1">
      <c r="A1810" s="838" t="s">
        <v>1259</v>
      </c>
      <c r="B1810" s="839"/>
      <c r="C1810" s="839"/>
      <c r="D1810" s="839"/>
      <c r="E1810" s="839"/>
      <c r="F1810" s="840"/>
      <c r="G1810" s="103">
        <f>SUM(G1808,G1802,G1796)</f>
        <v>781.56949999999995</v>
      </c>
    </row>
    <row r="1813" spans="1:11">
      <c r="A1813" s="237" t="s">
        <v>131</v>
      </c>
      <c r="B1813" s="190" t="s">
        <v>27</v>
      </c>
      <c r="C1813" s="841" t="s">
        <v>1281</v>
      </c>
      <c r="D1813" s="841"/>
      <c r="E1813" s="841"/>
      <c r="F1813" s="841"/>
      <c r="G1813" s="81" t="s">
        <v>127</v>
      </c>
      <c r="I1813" s="480" t="s">
        <v>1901</v>
      </c>
      <c r="J1813" s="80"/>
      <c r="K1813" s="80"/>
    </row>
    <row r="1814" spans="1:11" ht="50.1" customHeight="1">
      <c r="A1814" s="179" t="s">
        <v>552</v>
      </c>
      <c r="B1814" s="82"/>
      <c r="C1814" s="830" t="s">
        <v>553</v>
      </c>
      <c r="D1814" s="831"/>
      <c r="E1814" s="831"/>
      <c r="F1814" s="186">
        <f>G1833</f>
        <v>643.60333799999989</v>
      </c>
      <c r="G1814" s="83" t="s">
        <v>167</v>
      </c>
      <c r="I1814" s="481"/>
      <c r="J1814" s="272"/>
      <c r="K1814" s="272"/>
    </row>
    <row r="1815" spans="1:11">
      <c r="A1815" s="818" t="s">
        <v>1902</v>
      </c>
      <c r="B1815" s="819"/>
      <c r="C1815" s="819"/>
      <c r="D1815" s="819"/>
      <c r="E1815" s="819"/>
      <c r="F1815" s="819"/>
      <c r="G1815" s="820"/>
    </row>
    <row r="1816" spans="1:11">
      <c r="A1816" s="84" t="s">
        <v>1903</v>
      </c>
      <c r="B1816" s="84" t="s">
        <v>131</v>
      </c>
      <c r="C1816" s="160" t="s">
        <v>1904</v>
      </c>
      <c r="D1816" s="84" t="s">
        <v>167</v>
      </c>
      <c r="E1816" s="85" t="s">
        <v>1905</v>
      </c>
      <c r="F1816" s="86" t="s">
        <v>1906</v>
      </c>
      <c r="G1816" s="86" t="s">
        <v>1907</v>
      </c>
    </row>
    <row r="1817" spans="1:11" ht="48">
      <c r="A1817" s="87" t="s">
        <v>1917</v>
      </c>
      <c r="B1817" s="87" t="s">
        <v>2035</v>
      </c>
      <c r="C1817" s="278" t="s">
        <v>553</v>
      </c>
      <c r="D1817" s="89" t="s">
        <v>167</v>
      </c>
      <c r="E1817" s="88">
        <v>1</v>
      </c>
      <c r="F1817" s="89">
        <f>'Mapa Cotações'!M73</f>
        <v>601.86272999999994</v>
      </c>
      <c r="G1817" s="89">
        <f>F1817*E1817</f>
        <v>601.86272999999994</v>
      </c>
    </row>
    <row r="1818" spans="1:11">
      <c r="A1818" s="87"/>
      <c r="B1818" s="87"/>
      <c r="C1818" s="278" t="s">
        <v>34</v>
      </c>
      <c r="D1818" s="89" t="s">
        <v>34</v>
      </c>
      <c r="E1818" s="88"/>
      <c r="F1818" s="89" t="s">
        <v>34</v>
      </c>
      <c r="G1818" s="89" t="s">
        <v>34</v>
      </c>
    </row>
    <row r="1819" spans="1:11">
      <c r="A1819" s="832" t="s">
        <v>1908</v>
      </c>
      <c r="B1819" s="833"/>
      <c r="C1819" s="833"/>
      <c r="D1819" s="833"/>
      <c r="E1819" s="833"/>
      <c r="F1819" s="834"/>
      <c r="G1819" s="90">
        <f>SUM(G1817:G1818)</f>
        <v>601.86272999999994</v>
      </c>
    </row>
    <row r="1820" spans="1:11">
      <c r="A1820" s="91"/>
      <c r="B1820" s="92"/>
      <c r="C1820" s="161"/>
      <c r="D1820" s="93"/>
      <c r="E1820" s="94"/>
      <c r="F1820" s="95"/>
      <c r="G1820" s="96"/>
    </row>
    <row r="1821" spans="1:11">
      <c r="A1821" s="835" t="s">
        <v>1909</v>
      </c>
      <c r="B1821" s="836"/>
      <c r="C1821" s="836"/>
      <c r="D1821" s="836"/>
      <c r="E1821" s="836"/>
      <c r="F1821" s="836"/>
      <c r="G1821" s="837"/>
    </row>
    <row r="1822" spans="1:11">
      <c r="A1822" s="84" t="s">
        <v>1903</v>
      </c>
      <c r="B1822" s="84" t="s">
        <v>131</v>
      </c>
      <c r="C1822" s="160" t="s">
        <v>1904</v>
      </c>
      <c r="D1822" s="84" t="s">
        <v>167</v>
      </c>
      <c r="E1822" s="85" t="s">
        <v>1905</v>
      </c>
      <c r="F1822" s="86" t="s">
        <v>1906</v>
      </c>
      <c r="G1822" s="86" t="s">
        <v>1907</v>
      </c>
    </row>
    <row r="1823" spans="1:11" ht="24">
      <c r="A1823" s="87" t="s">
        <v>2</v>
      </c>
      <c r="B1823" s="87">
        <v>88248</v>
      </c>
      <c r="C1823" s="278" t="s">
        <v>1947</v>
      </c>
      <c r="D1823" s="89" t="s">
        <v>137</v>
      </c>
      <c r="E1823" s="88">
        <v>0.87360000000000004</v>
      </c>
      <c r="F1823" s="89">
        <v>21.45</v>
      </c>
      <c r="G1823" s="89">
        <v>18.738720000000001</v>
      </c>
    </row>
    <row r="1824" spans="1:11" ht="24">
      <c r="A1824" s="87" t="s">
        <v>2</v>
      </c>
      <c r="B1824" s="87">
        <v>88267</v>
      </c>
      <c r="C1824" s="278" t="s">
        <v>1949</v>
      </c>
      <c r="D1824" s="89" t="s">
        <v>137</v>
      </c>
      <c r="E1824" s="88">
        <v>0.87360000000000004</v>
      </c>
      <c r="F1824" s="89">
        <v>26.33</v>
      </c>
      <c r="G1824" s="89">
        <v>23.001888000000001</v>
      </c>
    </row>
    <row r="1825" spans="1:11">
      <c r="A1825" s="832" t="s">
        <v>1908</v>
      </c>
      <c r="B1825" s="833"/>
      <c r="C1825" s="833"/>
      <c r="D1825" s="833"/>
      <c r="E1825" s="833"/>
      <c r="F1825" s="834"/>
      <c r="G1825" s="90">
        <v>41.740608000000002</v>
      </c>
    </row>
    <row r="1826" spans="1:11">
      <c r="A1826" s="91"/>
      <c r="B1826" s="92"/>
      <c r="C1826" s="162"/>
      <c r="D1826" s="92"/>
      <c r="E1826" s="97"/>
      <c r="F1826" s="98"/>
      <c r="G1826" s="96"/>
    </row>
    <row r="1827" spans="1:11">
      <c r="A1827" s="835" t="s">
        <v>1912</v>
      </c>
      <c r="B1827" s="836"/>
      <c r="C1827" s="836"/>
      <c r="D1827" s="836"/>
      <c r="E1827" s="836"/>
      <c r="F1827" s="836"/>
      <c r="G1827" s="837"/>
    </row>
    <row r="1828" spans="1:11">
      <c r="A1828" s="84" t="s">
        <v>1903</v>
      </c>
      <c r="B1828" s="84" t="s">
        <v>131</v>
      </c>
      <c r="C1828" s="160" t="s">
        <v>1904</v>
      </c>
      <c r="D1828" s="84" t="s">
        <v>167</v>
      </c>
      <c r="E1828" s="85" t="s">
        <v>1905</v>
      </c>
      <c r="F1828" s="86" t="s">
        <v>1906</v>
      </c>
      <c r="G1828" s="86" t="s">
        <v>1907</v>
      </c>
    </row>
    <row r="1829" spans="1:11">
      <c r="A1829" s="87"/>
      <c r="B1829" s="87"/>
      <c r="C1829" s="278" t="s">
        <v>34</v>
      </c>
      <c r="D1829" s="89" t="s">
        <v>34</v>
      </c>
      <c r="E1829" s="88"/>
      <c r="F1829" s="89" t="s">
        <v>34</v>
      </c>
      <c r="G1829" s="89" t="s">
        <v>34</v>
      </c>
    </row>
    <row r="1830" spans="1:11">
      <c r="A1830" s="87"/>
      <c r="B1830" s="87"/>
      <c r="C1830" s="278" t="s">
        <v>34</v>
      </c>
      <c r="D1830" s="89" t="s">
        <v>34</v>
      </c>
      <c r="E1830" s="88"/>
      <c r="F1830" s="89" t="s">
        <v>34</v>
      </c>
      <c r="G1830" s="89" t="s">
        <v>34</v>
      </c>
    </row>
    <row r="1831" spans="1:11">
      <c r="A1831" s="832" t="s">
        <v>1908</v>
      </c>
      <c r="B1831" s="833" t="s">
        <v>1908</v>
      </c>
      <c r="C1831" s="833"/>
      <c r="D1831" s="833"/>
      <c r="E1831" s="833"/>
      <c r="F1831" s="834"/>
      <c r="G1831" s="90" t="s">
        <v>34</v>
      </c>
    </row>
    <row r="1832" spans="1:11" ht="13.5" thickBot="1">
      <c r="A1832" s="91"/>
      <c r="B1832" s="92"/>
      <c r="C1832" s="163"/>
      <c r="D1832" s="99"/>
      <c r="E1832" s="100"/>
      <c r="F1832" s="101"/>
      <c r="G1832" s="102"/>
    </row>
    <row r="1833" spans="1:11" ht="13.5" thickBot="1">
      <c r="A1833" s="838" t="s">
        <v>1259</v>
      </c>
      <c r="B1833" s="839"/>
      <c r="C1833" s="839"/>
      <c r="D1833" s="839"/>
      <c r="E1833" s="839"/>
      <c r="F1833" s="840"/>
      <c r="G1833" s="103">
        <f>SUM(G1831,G1825,G1819)</f>
        <v>643.60333799999989</v>
      </c>
    </row>
    <row r="1836" spans="1:11">
      <c r="A1836" s="237" t="s">
        <v>131</v>
      </c>
      <c r="B1836" s="190" t="s">
        <v>27</v>
      </c>
      <c r="C1836" s="841" t="s">
        <v>1281</v>
      </c>
      <c r="D1836" s="841"/>
      <c r="E1836" s="841"/>
      <c r="F1836" s="841"/>
      <c r="G1836" s="81" t="s">
        <v>127</v>
      </c>
      <c r="I1836" s="480" t="s">
        <v>1901</v>
      </c>
      <c r="J1836" s="80"/>
      <c r="K1836" s="80"/>
    </row>
    <row r="1837" spans="1:11" ht="50.1" customHeight="1">
      <c r="A1837" s="179" t="s">
        <v>555</v>
      </c>
      <c r="B1837" s="82"/>
      <c r="C1837" s="830" t="s">
        <v>556</v>
      </c>
      <c r="D1837" s="831"/>
      <c r="E1837" s="831"/>
      <c r="F1837" s="186">
        <f>G1856</f>
        <v>502.96545600000002</v>
      </c>
      <c r="G1837" s="83" t="s">
        <v>167</v>
      </c>
      <c r="I1837" s="481"/>
      <c r="J1837" s="272"/>
      <c r="K1837" s="272"/>
    </row>
    <row r="1838" spans="1:11">
      <c r="A1838" s="818" t="s">
        <v>1902</v>
      </c>
      <c r="B1838" s="819"/>
      <c r="C1838" s="819"/>
      <c r="D1838" s="819"/>
      <c r="E1838" s="819"/>
      <c r="F1838" s="819"/>
      <c r="G1838" s="820"/>
    </row>
    <row r="1839" spans="1:11">
      <c r="A1839" s="84" t="s">
        <v>1903</v>
      </c>
      <c r="B1839" s="84" t="s">
        <v>131</v>
      </c>
      <c r="C1839" s="160" t="s">
        <v>1904</v>
      </c>
      <c r="D1839" s="84" t="s">
        <v>167</v>
      </c>
      <c r="E1839" s="85" t="s">
        <v>1905</v>
      </c>
      <c r="F1839" s="86" t="s">
        <v>1906</v>
      </c>
      <c r="G1839" s="86" t="s">
        <v>1907</v>
      </c>
    </row>
    <row r="1840" spans="1:11" ht="48">
      <c r="A1840" s="87" t="s">
        <v>1917</v>
      </c>
      <c r="B1840" s="87" t="s">
        <v>2036</v>
      </c>
      <c r="C1840" s="278" t="s">
        <v>556</v>
      </c>
      <c r="D1840" s="89" t="s">
        <v>167</v>
      </c>
      <c r="E1840" s="88">
        <v>1</v>
      </c>
      <c r="F1840" s="89">
        <f>'Mapa Cotações'!M74</f>
        <v>471.66</v>
      </c>
      <c r="G1840" s="89">
        <f>F1840*E1840</f>
        <v>471.66</v>
      </c>
    </row>
    <row r="1841" spans="1:7">
      <c r="A1841" s="87"/>
      <c r="B1841" s="87"/>
      <c r="C1841" s="278" t="s">
        <v>34</v>
      </c>
      <c r="D1841" s="89" t="s">
        <v>34</v>
      </c>
      <c r="E1841" s="88"/>
      <c r="F1841" s="89" t="s">
        <v>34</v>
      </c>
      <c r="G1841" s="89" t="s">
        <v>34</v>
      </c>
    </row>
    <row r="1842" spans="1:7">
      <c r="A1842" s="832" t="s">
        <v>1908</v>
      </c>
      <c r="B1842" s="833"/>
      <c r="C1842" s="833"/>
      <c r="D1842" s="833"/>
      <c r="E1842" s="833"/>
      <c r="F1842" s="834"/>
      <c r="G1842" s="90">
        <f>SUM(G1840:G1841)</f>
        <v>471.66</v>
      </c>
    </row>
    <row r="1843" spans="1:7">
      <c r="A1843" s="91"/>
      <c r="B1843" s="92"/>
      <c r="C1843" s="161"/>
      <c r="D1843" s="93"/>
      <c r="E1843" s="94"/>
      <c r="F1843" s="95"/>
      <c r="G1843" s="96"/>
    </row>
    <row r="1844" spans="1:7">
      <c r="A1844" s="835" t="s">
        <v>1909</v>
      </c>
      <c r="B1844" s="836"/>
      <c r="C1844" s="836"/>
      <c r="D1844" s="836"/>
      <c r="E1844" s="836"/>
      <c r="F1844" s="836"/>
      <c r="G1844" s="837"/>
    </row>
    <row r="1845" spans="1:7">
      <c r="A1845" s="84" t="s">
        <v>1903</v>
      </c>
      <c r="B1845" s="84" t="s">
        <v>131</v>
      </c>
      <c r="C1845" s="160" t="s">
        <v>1904</v>
      </c>
      <c r="D1845" s="84" t="s">
        <v>167</v>
      </c>
      <c r="E1845" s="85" t="s">
        <v>1905</v>
      </c>
      <c r="F1845" s="86" t="s">
        <v>1906</v>
      </c>
      <c r="G1845" s="86" t="s">
        <v>1907</v>
      </c>
    </row>
    <row r="1846" spans="1:7" ht="24">
      <c r="A1846" s="87" t="s">
        <v>2</v>
      </c>
      <c r="B1846" s="87">
        <v>88248</v>
      </c>
      <c r="C1846" s="278" t="s">
        <v>1947</v>
      </c>
      <c r="D1846" s="89" t="s">
        <v>137</v>
      </c>
      <c r="E1846" s="88">
        <v>0.6552</v>
      </c>
      <c r="F1846" s="89">
        <v>21.45</v>
      </c>
      <c r="G1846" s="89">
        <v>14.054039999999999</v>
      </c>
    </row>
    <row r="1847" spans="1:7" ht="24">
      <c r="A1847" s="87" t="s">
        <v>2</v>
      </c>
      <c r="B1847" s="87">
        <v>88267</v>
      </c>
      <c r="C1847" s="278" t="s">
        <v>1949</v>
      </c>
      <c r="D1847" s="89" t="s">
        <v>137</v>
      </c>
      <c r="E1847" s="88">
        <v>0.6552</v>
      </c>
      <c r="F1847" s="89">
        <v>26.33</v>
      </c>
      <c r="G1847" s="89">
        <v>17.251415999999999</v>
      </c>
    </row>
    <row r="1848" spans="1:7">
      <c r="A1848" s="832" t="s">
        <v>1908</v>
      </c>
      <c r="B1848" s="833"/>
      <c r="C1848" s="833"/>
      <c r="D1848" s="833"/>
      <c r="E1848" s="833"/>
      <c r="F1848" s="834"/>
      <c r="G1848" s="90">
        <v>31.305456</v>
      </c>
    </row>
    <row r="1849" spans="1:7">
      <c r="A1849" s="91"/>
      <c r="B1849" s="92"/>
      <c r="C1849" s="162"/>
      <c r="D1849" s="92"/>
      <c r="E1849" s="97"/>
      <c r="F1849" s="98"/>
      <c r="G1849" s="96"/>
    </row>
    <row r="1850" spans="1:7">
      <c r="A1850" s="835" t="s">
        <v>1912</v>
      </c>
      <c r="B1850" s="836"/>
      <c r="C1850" s="836"/>
      <c r="D1850" s="836"/>
      <c r="E1850" s="836"/>
      <c r="F1850" s="836"/>
      <c r="G1850" s="837"/>
    </row>
    <row r="1851" spans="1:7">
      <c r="A1851" s="84" t="s">
        <v>1903</v>
      </c>
      <c r="B1851" s="84" t="s">
        <v>131</v>
      </c>
      <c r="C1851" s="160" t="s">
        <v>1904</v>
      </c>
      <c r="D1851" s="84" t="s">
        <v>167</v>
      </c>
      <c r="E1851" s="85" t="s">
        <v>1905</v>
      </c>
      <c r="F1851" s="86" t="s">
        <v>1906</v>
      </c>
      <c r="G1851" s="86" t="s">
        <v>1907</v>
      </c>
    </row>
    <row r="1852" spans="1:7">
      <c r="A1852" s="87"/>
      <c r="B1852" s="87"/>
      <c r="C1852" s="278" t="s">
        <v>34</v>
      </c>
      <c r="D1852" s="89" t="s">
        <v>34</v>
      </c>
      <c r="E1852" s="88"/>
      <c r="F1852" s="89" t="s">
        <v>34</v>
      </c>
      <c r="G1852" s="89" t="s">
        <v>34</v>
      </c>
    </row>
    <row r="1853" spans="1:7">
      <c r="A1853" s="87"/>
      <c r="B1853" s="87"/>
      <c r="C1853" s="278" t="s">
        <v>34</v>
      </c>
      <c r="D1853" s="89" t="s">
        <v>34</v>
      </c>
      <c r="E1853" s="88"/>
      <c r="F1853" s="89" t="s">
        <v>34</v>
      </c>
      <c r="G1853" s="89" t="s">
        <v>34</v>
      </c>
    </row>
    <row r="1854" spans="1:7">
      <c r="A1854" s="832" t="s">
        <v>1908</v>
      </c>
      <c r="B1854" s="833" t="s">
        <v>1908</v>
      </c>
      <c r="C1854" s="833"/>
      <c r="D1854" s="833"/>
      <c r="E1854" s="833"/>
      <c r="F1854" s="834"/>
      <c r="G1854" s="90" t="s">
        <v>34</v>
      </c>
    </row>
    <row r="1855" spans="1:7" ht="13.5" thickBot="1">
      <c r="A1855" s="91"/>
      <c r="B1855" s="92"/>
      <c r="C1855" s="163"/>
      <c r="D1855" s="99"/>
      <c r="E1855" s="100"/>
      <c r="F1855" s="101"/>
      <c r="G1855" s="102"/>
    </row>
    <row r="1856" spans="1:7" ht="13.5" thickBot="1">
      <c r="A1856" s="838" t="s">
        <v>1259</v>
      </c>
      <c r="B1856" s="839"/>
      <c r="C1856" s="839"/>
      <c r="D1856" s="839"/>
      <c r="E1856" s="839"/>
      <c r="F1856" s="840"/>
      <c r="G1856" s="103">
        <f>SUM(G1854,G1848,G1842)</f>
        <v>502.96545600000002</v>
      </c>
    </row>
    <row r="1859" spans="1:11">
      <c r="A1859" s="237" t="s">
        <v>131</v>
      </c>
      <c r="B1859" s="190" t="s">
        <v>27</v>
      </c>
      <c r="C1859" s="841" t="s">
        <v>1281</v>
      </c>
      <c r="D1859" s="841"/>
      <c r="E1859" s="841"/>
      <c r="F1859" s="841"/>
      <c r="G1859" s="81" t="s">
        <v>127</v>
      </c>
      <c r="I1859" s="480" t="s">
        <v>1901</v>
      </c>
      <c r="J1859" s="80"/>
      <c r="K1859" s="80"/>
    </row>
    <row r="1860" spans="1:11" ht="50.1" customHeight="1">
      <c r="A1860" s="179" t="s">
        <v>558</v>
      </c>
      <c r="B1860" s="82"/>
      <c r="C1860" s="830" t="s">
        <v>559</v>
      </c>
      <c r="D1860" s="831"/>
      <c r="E1860" s="831"/>
      <c r="F1860" s="186">
        <f>G1879</f>
        <v>339.33030399999996</v>
      </c>
      <c r="G1860" s="83" t="s">
        <v>167</v>
      </c>
      <c r="I1860" s="481"/>
      <c r="J1860" s="272"/>
      <c r="K1860" s="272"/>
    </row>
    <row r="1861" spans="1:11">
      <c r="A1861" s="818" t="s">
        <v>1902</v>
      </c>
      <c r="B1861" s="819"/>
      <c r="C1861" s="819"/>
      <c r="D1861" s="819"/>
      <c r="E1861" s="819"/>
      <c r="F1861" s="819"/>
      <c r="G1861" s="820"/>
    </row>
    <row r="1862" spans="1:11">
      <c r="A1862" s="84" t="s">
        <v>1903</v>
      </c>
      <c r="B1862" s="84" t="s">
        <v>131</v>
      </c>
      <c r="C1862" s="160" t="s">
        <v>1904</v>
      </c>
      <c r="D1862" s="84" t="s">
        <v>167</v>
      </c>
      <c r="E1862" s="85" t="s">
        <v>1905</v>
      </c>
      <c r="F1862" s="86" t="s">
        <v>1906</v>
      </c>
      <c r="G1862" s="86" t="s">
        <v>1907</v>
      </c>
    </row>
    <row r="1863" spans="1:11" ht="48">
      <c r="A1863" s="87" t="s">
        <v>1917</v>
      </c>
      <c r="B1863" s="87" t="s">
        <v>2037</v>
      </c>
      <c r="C1863" s="278" t="s">
        <v>559</v>
      </c>
      <c r="D1863" s="89" t="s">
        <v>167</v>
      </c>
      <c r="E1863" s="88">
        <v>1</v>
      </c>
      <c r="F1863" s="89">
        <f>'Mapa Cotações'!M75</f>
        <v>318.45999999999998</v>
      </c>
      <c r="G1863" s="89">
        <f>F1863*E1863</f>
        <v>318.45999999999998</v>
      </c>
    </row>
    <row r="1864" spans="1:11">
      <c r="A1864" s="87"/>
      <c r="B1864" s="87"/>
      <c r="C1864" s="278" t="s">
        <v>34</v>
      </c>
      <c r="D1864" s="89" t="s">
        <v>34</v>
      </c>
      <c r="E1864" s="88"/>
      <c r="F1864" s="89" t="s">
        <v>34</v>
      </c>
      <c r="G1864" s="89" t="s">
        <v>34</v>
      </c>
    </row>
    <row r="1865" spans="1:11">
      <c r="A1865" s="832" t="s">
        <v>1908</v>
      </c>
      <c r="B1865" s="833"/>
      <c r="C1865" s="833"/>
      <c r="D1865" s="833"/>
      <c r="E1865" s="833"/>
      <c r="F1865" s="834"/>
      <c r="G1865" s="90">
        <f>SUM(G1863:G1864)</f>
        <v>318.45999999999998</v>
      </c>
    </row>
    <row r="1866" spans="1:11">
      <c r="A1866" s="91"/>
      <c r="B1866" s="92"/>
      <c r="C1866" s="161"/>
      <c r="D1866" s="93"/>
      <c r="E1866" s="94"/>
      <c r="F1866" s="95"/>
      <c r="G1866" s="96"/>
    </row>
    <row r="1867" spans="1:11">
      <c r="A1867" s="835" t="s">
        <v>1909</v>
      </c>
      <c r="B1867" s="836"/>
      <c r="C1867" s="836"/>
      <c r="D1867" s="836"/>
      <c r="E1867" s="836"/>
      <c r="F1867" s="836"/>
      <c r="G1867" s="837"/>
    </row>
    <row r="1868" spans="1:11">
      <c r="A1868" s="84" t="s">
        <v>1903</v>
      </c>
      <c r="B1868" s="84" t="s">
        <v>131</v>
      </c>
      <c r="C1868" s="160" t="s">
        <v>1904</v>
      </c>
      <c r="D1868" s="84" t="s">
        <v>167</v>
      </c>
      <c r="E1868" s="85" t="s">
        <v>1905</v>
      </c>
      <c r="F1868" s="86" t="s">
        <v>1906</v>
      </c>
      <c r="G1868" s="86" t="s">
        <v>1907</v>
      </c>
    </row>
    <row r="1869" spans="1:11" ht="24">
      <c r="A1869" s="87" t="s">
        <v>2</v>
      </c>
      <c r="B1869" s="87">
        <v>88248</v>
      </c>
      <c r="C1869" s="278" t="s">
        <v>1947</v>
      </c>
      <c r="D1869" s="89" t="s">
        <v>137</v>
      </c>
      <c r="E1869" s="88">
        <v>0.43680000000000002</v>
      </c>
      <c r="F1869" s="89">
        <v>21.45</v>
      </c>
      <c r="G1869" s="89">
        <f>F1869*E1869</f>
        <v>9.3693600000000004</v>
      </c>
    </row>
    <row r="1870" spans="1:11" ht="24">
      <c r="A1870" s="87" t="s">
        <v>2</v>
      </c>
      <c r="B1870" s="87">
        <v>88267</v>
      </c>
      <c r="C1870" s="278" t="s">
        <v>1949</v>
      </c>
      <c r="D1870" s="89" t="s">
        <v>137</v>
      </c>
      <c r="E1870" s="88">
        <v>0.43680000000000002</v>
      </c>
      <c r="F1870" s="89">
        <v>26.33</v>
      </c>
      <c r="G1870" s="89">
        <f>F1870*E1870</f>
        <v>11.500944</v>
      </c>
    </row>
    <row r="1871" spans="1:11">
      <c r="A1871" s="832" t="s">
        <v>1908</v>
      </c>
      <c r="B1871" s="833"/>
      <c r="C1871" s="833"/>
      <c r="D1871" s="833"/>
      <c r="E1871" s="833"/>
      <c r="F1871" s="834"/>
      <c r="G1871" s="90">
        <f>SUM(G1869:G1870)</f>
        <v>20.870304000000001</v>
      </c>
    </row>
    <row r="1872" spans="1:11">
      <c r="A1872" s="91"/>
      <c r="B1872" s="92"/>
      <c r="C1872" s="162"/>
      <c r="D1872" s="92"/>
      <c r="E1872" s="97"/>
      <c r="F1872" s="98"/>
      <c r="G1872" s="96"/>
    </row>
    <row r="1873" spans="1:11">
      <c r="A1873" s="835" t="s">
        <v>1912</v>
      </c>
      <c r="B1873" s="836"/>
      <c r="C1873" s="836"/>
      <c r="D1873" s="836"/>
      <c r="E1873" s="836"/>
      <c r="F1873" s="836"/>
      <c r="G1873" s="837"/>
    </row>
    <row r="1874" spans="1:11">
      <c r="A1874" s="84" t="s">
        <v>1903</v>
      </c>
      <c r="B1874" s="84" t="s">
        <v>131</v>
      </c>
      <c r="C1874" s="160" t="s">
        <v>1904</v>
      </c>
      <c r="D1874" s="84" t="s">
        <v>167</v>
      </c>
      <c r="E1874" s="85" t="s">
        <v>1905</v>
      </c>
      <c r="F1874" s="86" t="s">
        <v>1906</v>
      </c>
      <c r="G1874" s="86" t="s">
        <v>1907</v>
      </c>
    </row>
    <row r="1875" spans="1:11">
      <c r="A1875" s="87"/>
      <c r="B1875" s="87"/>
      <c r="C1875" s="278" t="s">
        <v>34</v>
      </c>
      <c r="D1875" s="89" t="s">
        <v>34</v>
      </c>
      <c r="E1875" s="88"/>
      <c r="F1875" s="89" t="s">
        <v>34</v>
      </c>
      <c r="G1875" s="89" t="s">
        <v>34</v>
      </c>
    </row>
    <row r="1876" spans="1:11">
      <c r="A1876" s="87"/>
      <c r="B1876" s="87"/>
      <c r="C1876" s="278" t="s">
        <v>34</v>
      </c>
      <c r="D1876" s="89" t="s">
        <v>34</v>
      </c>
      <c r="E1876" s="88"/>
      <c r="F1876" s="89" t="s">
        <v>34</v>
      </c>
      <c r="G1876" s="89" t="s">
        <v>34</v>
      </c>
    </row>
    <row r="1877" spans="1:11">
      <c r="A1877" s="832" t="s">
        <v>1908</v>
      </c>
      <c r="B1877" s="833" t="s">
        <v>1908</v>
      </c>
      <c r="C1877" s="833"/>
      <c r="D1877" s="833"/>
      <c r="E1877" s="833"/>
      <c r="F1877" s="834"/>
      <c r="G1877" s="90" t="s">
        <v>34</v>
      </c>
    </row>
    <row r="1878" spans="1:11" ht="13.5" thickBot="1">
      <c r="A1878" s="91"/>
      <c r="B1878" s="92"/>
      <c r="C1878" s="163"/>
      <c r="D1878" s="99"/>
      <c r="E1878" s="100"/>
      <c r="F1878" s="101"/>
      <c r="G1878" s="102"/>
    </row>
    <row r="1879" spans="1:11" ht="13.5" thickBot="1">
      <c r="A1879" s="838" t="s">
        <v>1259</v>
      </c>
      <c r="B1879" s="839"/>
      <c r="C1879" s="839"/>
      <c r="D1879" s="839"/>
      <c r="E1879" s="839"/>
      <c r="F1879" s="840"/>
      <c r="G1879" s="103">
        <f>SUM(G1877,G1871,G1865)</f>
        <v>339.33030399999996</v>
      </c>
    </row>
    <row r="1882" spans="1:11">
      <c r="A1882" s="237" t="s">
        <v>131</v>
      </c>
      <c r="B1882" s="190" t="s">
        <v>27</v>
      </c>
      <c r="C1882" s="841" t="s">
        <v>1281</v>
      </c>
      <c r="D1882" s="841"/>
      <c r="E1882" s="841"/>
      <c r="F1882" s="841"/>
      <c r="G1882" s="81" t="s">
        <v>127</v>
      </c>
      <c r="I1882" s="480" t="s">
        <v>1901</v>
      </c>
      <c r="J1882" s="80"/>
      <c r="K1882" s="80"/>
    </row>
    <row r="1883" spans="1:11" ht="50.1" customHeight="1">
      <c r="A1883" s="179" t="s">
        <v>561</v>
      </c>
      <c r="B1883" s="82"/>
      <c r="C1883" s="830" t="s">
        <v>562</v>
      </c>
      <c r="D1883" s="831"/>
      <c r="E1883" s="831"/>
      <c r="F1883" s="186">
        <f>G1902</f>
        <v>84.398520000000005</v>
      </c>
      <c r="G1883" s="83" t="s">
        <v>167</v>
      </c>
      <c r="I1883" s="481"/>
      <c r="J1883" s="272"/>
      <c r="K1883" s="272"/>
    </row>
    <row r="1884" spans="1:11">
      <c r="A1884" s="818" t="s">
        <v>1902</v>
      </c>
      <c r="B1884" s="819"/>
      <c r="C1884" s="819"/>
      <c r="D1884" s="819"/>
      <c r="E1884" s="819"/>
      <c r="F1884" s="819"/>
      <c r="G1884" s="820"/>
    </row>
    <row r="1885" spans="1:11">
      <c r="A1885" s="84" t="s">
        <v>1903</v>
      </c>
      <c r="B1885" s="84" t="s">
        <v>131</v>
      </c>
      <c r="C1885" s="160" t="s">
        <v>1904</v>
      </c>
      <c r="D1885" s="84" t="s">
        <v>167</v>
      </c>
      <c r="E1885" s="85" t="s">
        <v>1905</v>
      </c>
      <c r="F1885" s="86" t="s">
        <v>1906</v>
      </c>
      <c r="G1885" s="86" t="s">
        <v>1907</v>
      </c>
    </row>
    <row r="1886" spans="1:11" ht="36">
      <c r="A1886" s="87" t="s">
        <v>1917</v>
      </c>
      <c r="B1886" s="87" t="s">
        <v>2038</v>
      </c>
      <c r="C1886" s="278" t="s">
        <v>562</v>
      </c>
      <c r="D1886" s="89" t="s">
        <v>167</v>
      </c>
      <c r="E1886" s="88">
        <v>1</v>
      </c>
      <c r="F1886" s="89">
        <f>'Mapa Cotações'!M76</f>
        <v>52.863720000000001</v>
      </c>
      <c r="G1886" s="89">
        <f>F1886*E1886</f>
        <v>52.863720000000001</v>
      </c>
    </row>
    <row r="1887" spans="1:11">
      <c r="A1887" s="87"/>
      <c r="B1887" s="87"/>
      <c r="C1887" s="278" t="s">
        <v>34</v>
      </c>
      <c r="D1887" s="89" t="s">
        <v>34</v>
      </c>
      <c r="E1887" s="88"/>
      <c r="F1887" s="89" t="s">
        <v>34</v>
      </c>
      <c r="G1887" s="89" t="s">
        <v>34</v>
      </c>
    </row>
    <row r="1888" spans="1:11">
      <c r="A1888" s="832" t="s">
        <v>1908</v>
      </c>
      <c r="B1888" s="833"/>
      <c r="C1888" s="833"/>
      <c r="D1888" s="833"/>
      <c r="E1888" s="833"/>
      <c r="F1888" s="834"/>
      <c r="G1888" s="90">
        <f>SUM(G1886:G1887)</f>
        <v>52.863720000000001</v>
      </c>
    </row>
    <row r="1889" spans="1:7">
      <c r="A1889" s="91"/>
      <c r="B1889" s="92"/>
      <c r="C1889" s="161"/>
      <c r="D1889" s="93"/>
      <c r="E1889" s="94"/>
      <c r="F1889" s="95"/>
      <c r="G1889" s="96"/>
    </row>
    <row r="1890" spans="1:7">
      <c r="A1890" s="835" t="s">
        <v>1909</v>
      </c>
      <c r="B1890" s="836"/>
      <c r="C1890" s="836"/>
      <c r="D1890" s="836"/>
      <c r="E1890" s="836"/>
      <c r="F1890" s="836"/>
      <c r="G1890" s="837"/>
    </row>
    <row r="1891" spans="1:7">
      <c r="A1891" s="84" t="s">
        <v>1903</v>
      </c>
      <c r="B1891" s="84" t="s">
        <v>131</v>
      </c>
      <c r="C1891" s="160" t="s">
        <v>1904</v>
      </c>
      <c r="D1891" s="84" t="s">
        <v>167</v>
      </c>
      <c r="E1891" s="85" t="s">
        <v>1905</v>
      </c>
      <c r="F1891" s="86" t="s">
        <v>1906</v>
      </c>
      <c r="G1891" s="86" t="s">
        <v>1907</v>
      </c>
    </row>
    <row r="1892" spans="1:7" ht="24">
      <c r="A1892" s="87" t="s">
        <v>2</v>
      </c>
      <c r="B1892" s="87">
        <v>88248</v>
      </c>
      <c r="C1892" s="278" t="s">
        <v>1947</v>
      </c>
      <c r="D1892" s="89" t="s">
        <v>137</v>
      </c>
      <c r="E1892" s="88">
        <v>0.66</v>
      </c>
      <c r="F1892" s="89">
        <v>21.45</v>
      </c>
      <c r="G1892" s="89">
        <f>F1892*E1892</f>
        <v>14.157</v>
      </c>
    </row>
    <row r="1893" spans="1:7" ht="24">
      <c r="A1893" s="87" t="s">
        <v>2</v>
      </c>
      <c r="B1893" s="87">
        <v>88267</v>
      </c>
      <c r="C1893" s="278" t="s">
        <v>1949</v>
      </c>
      <c r="D1893" s="89" t="s">
        <v>137</v>
      </c>
      <c r="E1893" s="88">
        <v>0.66</v>
      </c>
      <c r="F1893" s="89">
        <v>26.33</v>
      </c>
      <c r="G1893" s="89">
        <f>F1893*E1893</f>
        <v>17.377800000000001</v>
      </c>
    </row>
    <row r="1894" spans="1:7">
      <c r="A1894" s="832" t="s">
        <v>1908</v>
      </c>
      <c r="B1894" s="833"/>
      <c r="C1894" s="833"/>
      <c r="D1894" s="833"/>
      <c r="E1894" s="833"/>
      <c r="F1894" s="834"/>
      <c r="G1894" s="90">
        <f>SUM(G1892:G1893)</f>
        <v>31.534800000000001</v>
      </c>
    </row>
    <row r="1895" spans="1:7">
      <c r="A1895" s="91"/>
      <c r="B1895" s="92"/>
      <c r="C1895" s="162"/>
      <c r="D1895" s="92"/>
      <c r="E1895" s="97"/>
      <c r="F1895" s="98"/>
      <c r="G1895" s="96"/>
    </row>
    <row r="1896" spans="1:7">
      <c r="A1896" s="835" t="s">
        <v>1912</v>
      </c>
      <c r="B1896" s="836"/>
      <c r="C1896" s="836"/>
      <c r="D1896" s="836"/>
      <c r="E1896" s="836"/>
      <c r="F1896" s="836"/>
      <c r="G1896" s="837"/>
    </row>
    <row r="1897" spans="1:7">
      <c r="A1897" s="84" t="s">
        <v>1903</v>
      </c>
      <c r="B1897" s="84" t="s">
        <v>131</v>
      </c>
      <c r="C1897" s="160" t="s">
        <v>1904</v>
      </c>
      <c r="D1897" s="84" t="s">
        <v>167</v>
      </c>
      <c r="E1897" s="85" t="s">
        <v>1905</v>
      </c>
      <c r="F1897" s="86" t="s">
        <v>1906</v>
      </c>
      <c r="G1897" s="86" t="s">
        <v>1907</v>
      </c>
    </row>
    <row r="1898" spans="1:7">
      <c r="A1898" s="87"/>
      <c r="B1898" s="87"/>
      <c r="C1898" s="278" t="s">
        <v>34</v>
      </c>
      <c r="D1898" s="89" t="s">
        <v>34</v>
      </c>
      <c r="E1898" s="88"/>
      <c r="F1898" s="89" t="s">
        <v>34</v>
      </c>
      <c r="G1898" s="89" t="s">
        <v>34</v>
      </c>
    </row>
    <row r="1899" spans="1:7">
      <c r="A1899" s="87"/>
      <c r="B1899" s="87"/>
      <c r="C1899" s="278" t="s">
        <v>34</v>
      </c>
      <c r="D1899" s="89" t="s">
        <v>34</v>
      </c>
      <c r="E1899" s="88"/>
      <c r="F1899" s="89" t="s">
        <v>34</v>
      </c>
      <c r="G1899" s="89" t="s">
        <v>34</v>
      </c>
    </row>
    <row r="1900" spans="1:7">
      <c r="A1900" s="832" t="s">
        <v>1908</v>
      </c>
      <c r="B1900" s="833" t="s">
        <v>1908</v>
      </c>
      <c r="C1900" s="833"/>
      <c r="D1900" s="833"/>
      <c r="E1900" s="833"/>
      <c r="F1900" s="834"/>
      <c r="G1900" s="90" t="s">
        <v>34</v>
      </c>
    </row>
    <row r="1901" spans="1:7" ht="13.5" thickBot="1">
      <c r="A1901" s="91"/>
      <c r="B1901" s="92"/>
      <c r="C1901" s="163"/>
      <c r="D1901" s="99"/>
      <c r="E1901" s="100"/>
      <c r="F1901" s="101"/>
      <c r="G1901" s="102"/>
    </row>
    <row r="1902" spans="1:7" ht="13.5" thickBot="1">
      <c r="A1902" s="838" t="s">
        <v>1259</v>
      </c>
      <c r="B1902" s="839"/>
      <c r="C1902" s="839"/>
      <c r="D1902" s="839"/>
      <c r="E1902" s="839"/>
      <c r="F1902" s="840"/>
      <c r="G1902" s="103">
        <f>SUM(G1900,G1894,G1888)</f>
        <v>84.398520000000005</v>
      </c>
    </row>
    <row r="1905" spans="1:11">
      <c r="A1905" s="237" t="s">
        <v>131</v>
      </c>
      <c r="B1905" s="190" t="s">
        <v>27</v>
      </c>
      <c r="C1905" s="841" t="s">
        <v>1281</v>
      </c>
      <c r="D1905" s="841"/>
      <c r="E1905" s="841"/>
      <c r="F1905" s="841"/>
      <c r="G1905" s="81" t="s">
        <v>127</v>
      </c>
      <c r="I1905" s="480" t="s">
        <v>1901</v>
      </c>
      <c r="J1905" s="80"/>
      <c r="K1905" s="80"/>
    </row>
    <row r="1906" spans="1:11" ht="50.1" customHeight="1">
      <c r="A1906" s="179" t="s">
        <v>564</v>
      </c>
      <c r="B1906" s="82"/>
      <c r="C1906" s="830" t="s">
        <v>565</v>
      </c>
      <c r="D1906" s="831"/>
      <c r="E1906" s="831"/>
      <c r="F1906" s="186">
        <f>G1925</f>
        <v>134.44300000000001</v>
      </c>
      <c r="G1906" s="83" t="s">
        <v>167</v>
      </c>
      <c r="I1906" s="481"/>
      <c r="J1906" s="272"/>
      <c r="K1906" s="272"/>
    </row>
    <row r="1907" spans="1:11">
      <c r="A1907" s="818" t="s">
        <v>1902</v>
      </c>
      <c r="B1907" s="819"/>
      <c r="C1907" s="819"/>
      <c r="D1907" s="819"/>
      <c r="E1907" s="819"/>
      <c r="F1907" s="819"/>
      <c r="G1907" s="820"/>
    </row>
    <row r="1908" spans="1:11">
      <c r="A1908" s="84" t="s">
        <v>1903</v>
      </c>
      <c r="B1908" s="84" t="s">
        <v>131</v>
      </c>
      <c r="C1908" s="160" t="s">
        <v>1904</v>
      </c>
      <c r="D1908" s="84" t="s">
        <v>167</v>
      </c>
      <c r="E1908" s="85" t="s">
        <v>1905</v>
      </c>
      <c r="F1908" s="86" t="s">
        <v>1906</v>
      </c>
      <c r="G1908" s="86" t="s">
        <v>1907</v>
      </c>
    </row>
    <row r="1909" spans="1:11" ht="24">
      <c r="A1909" s="87" t="s">
        <v>1917</v>
      </c>
      <c r="B1909" s="87" t="s">
        <v>2039</v>
      </c>
      <c r="C1909" s="278" t="s">
        <v>565</v>
      </c>
      <c r="D1909" s="89" t="s">
        <v>167</v>
      </c>
      <c r="E1909" s="88">
        <v>1</v>
      </c>
      <c r="F1909" s="89">
        <f>'Mapa Cotações'!M77</f>
        <v>104.8194</v>
      </c>
      <c r="G1909" s="89">
        <f>F1909*E1909</f>
        <v>104.8194</v>
      </c>
    </row>
    <row r="1910" spans="1:11">
      <c r="A1910" s="87"/>
      <c r="B1910" s="87"/>
      <c r="C1910" s="278" t="s">
        <v>34</v>
      </c>
      <c r="D1910" s="89" t="s">
        <v>34</v>
      </c>
      <c r="E1910" s="88"/>
      <c r="F1910" s="89" t="s">
        <v>34</v>
      </c>
      <c r="G1910" s="89" t="s">
        <v>34</v>
      </c>
    </row>
    <row r="1911" spans="1:11">
      <c r="A1911" s="832" t="s">
        <v>1908</v>
      </c>
      <c r="B1911" s="833"/>
      <c r="C1911" s="833"/>
      <c r="D1911" s="833"/>
      <c r="E1911" s="833"/>
      <c r="F1911" s="834"/>
      <c r="G1911" s="90">
        <f>SUM(G1909:G1910)</f>
        <v>104.8194</v>
      </c>
    </row>
    <row r="1912" spans="1:11">
      <c r="A1912" s="91"/>
      <c r="B1912" s="92"/>
      <c r="C1912" s="161"/>
      <c r="D1912" s="93"/>
      <c r="E1912" s="94"/>
      <c r="F1912" s="95"/>
      <c r="G1912" s="96"/>
    </row>
    <row r="1913" spans="1:11">
      <c r="A1913" s="835" t="s">
        <v>1909</v>
      </c>
      <c r="B1913" s="836"/>
      <c r="C1913" s="836"/>
      <c r="D1913" s="836"/>
      <c r="E1913" s="836"/>
      <c r="F1913" s="836"/>
      <c r="G1913" s="837"/>
    </row>
    <row r="1914" spans="1:11">
      <c r="A1914" s="84" t="s">
        <v>1903</v>
      </c>
      <c r="B1914" s="84" t="s">
        <v>131</v>
      </c>
      <c r="C1914" s="160" t="s">
        <v>1904</v>
      </c>
      <c r="D1914" s="84" t="s">
        <v>167</v>
      </c>
      <c r="E1914" s="85" t="s">
        <v>1905</v>
      </c>
      <c r="F1914" s="86" t="s">
        <v>1906</v>
      </c>
      <c r="G1914" s="86" t="s">
        <v>1907</v>
      </c>
    </row>
    <row r="1915" spans="1:11" ht="24">
      <c r="A1915" s="87" t="s">
        <v>2</v>
      </c>
      <c r="B1915" s="87">
        <v>88248</v>
      </c>
      <c r="C1915" s="278" t="s">
        <v>1947</v>
      </c>
      <c r="D1915" s="89" t="s">
        <v>137</v>
      </c>
      <c r="E1915" s="88">
        <v>0.62</v>
      </c>
      <c r="F1915" s="89">
        <v>21.45</v>
      </c>
      <c r="G1915" s="89">
        <f>F1915*E1915</f>
        <v>13.298999999999999</v>
      </c>
    </row>
    <row r="1916" spans="1:11" ht="24">
      <c r="A1916" s="87" t="s">
        <v>2</v>
      </c>
      <c r="B1916" s="87">
        <v>88267</v>
      </c>
      <c r="C1916" s="278" t="s">
        <v>1949</v>
      </c>
      <c r="D1916" s="89" t="s">
        <v>137</v>
      </c>
      <c r="E1916" s="88">
        <v>0.62</v>
      </c>
      <c r="F1916" s="89">
        <v>26.33</v>
      </c>
      <c r="G1916" s="89">
        <f>F1916*E1916</f>
        <v>16.3246</v>
      </c>
    </row>
    <row r="1917" spans="1:11">
      <c r="A1917" s="832" t="s">
        <v>1908</v>
      </c>
      <c r="B1917" s="833"/>
      <c r="C1917" s="833"/>
      <c r="D1917" s="833"/>
      <c r="E1917" s="833"/>
      <c r="F1917" s="834"/>
      <c r="G1917" s="90">
        <f>SUM(G1915:G1916)</f>
        <v>29.6236</v>
      </c>
    </row>
    <row r="1918" spans="1:11">
      <c r="A1918" s="91"/>
      <c r="B1918" s="92"/>
      <c r="C1918" s="162"/>
      <c r="D1918" s="92"/>
      <c r="E1918" s="97"/>
      <c r="F1918" s="98"/>
      <c r="G1918" s="96"/>
    </row>
    <row r="1919" spans="1:11">
      <c r="A1919" s="835" t="s">
        <v>1912</v>
      </c>
      <c r="B1919" s="836"/>
      <c r="C1919" s="836"/>
      <c r="D1919" s="836"/>
      <c r="E1919" s="836"/>
      <c r="F1919" s="836"/>
      <c r="G1919" s="837"/>
    </row>
    <row r="1920" spans="1:11">
      <c r="A1920" s="84" t="s">
        <v>1903</v>
      </c>
      <c r="B1920" s="84" t="s">
        <v>131</v>
      </c>
      <c r="C1920" s="160" t="s">
        <v>1904</v>
      </c>
      <c r="D1920" s="84" t="s">
        <v>167</v>
      </c>
      <c r="E1920" s="85" t="s">
        <v>1905</v>
      </c>
      <c r="F1920" s="86" t="s">
        <v>1906</v>
      </c>
      <c r="G1920" s="86" t="s">
        <v>1907</v>
      </c>
    </row>
    <row r="1921" spans="1:11">
      <c r="A1921" s="87"/>
      <c r="B1921" s="87"/>
      <c r="C1921" s="278" t="s">
        <v>34</v>
      </c>
      <c r="D1921" s="89" t="s">
        <v>34</v>
      </c>
      <c r="E1921" s="88"/>
      <c r="F1921" s="89" t="s">
        <v>34</v>
      </c>
      <c r="G1921" s="89" t="s">
        <v>34</v>
      </c>
    </row>
    <row r="1922" spans="1:11">
      <c r="A1922" s="87"/>
      <c r="B1922" s="87"/>
      <c r="C1922" s="278" t="s">
        <v>34</v>
      </c>
      <c r="D1922" s="89" t="s">
        <v>34</v>
      </c>
      <c r="E1922" s="88"/>
      <c r="F1922" s="89" t="s">
        <v>34</v>
      </c>
      <c r="G1922" s="89" t="s">
        <v>34</v>
      </c>
    </row>
    <row r="1923" spans="1:11">
      <c r="A1923" s="832" t="s">
        <v>1908</v>
      </c>
      <c r="B1923" s="833" t="s">
        <v>1908</v>
      </c>
      <c r="C1923" s="833"/>
      <c r="D1923" s="833"/>
      <c r="E1923" s="833"/>
      <c r="F1923" s="834"/>
      <c r="G1923" s="90" t="s">
        <v>34</v>
      </c>
    </row>
    <row r="1924" spans="1:11" ht="13.5" thickBot="1">
      <c r="A1924" s="91"/>
      <c r="B1924" s="92"/>
      <c r="C1924" s="163"/>
      <c r="D1924" s="99"/>
      <c r="E1924" s="100"/>
      <c r="F1924" s="101"/>
      <c r="G1924" s="102"/>
    </row>
    <row r="1925" spans="1:11" ht="13.5" thickBot="1">
      <c r="A1925" s="838" t="s">
        <v>1259</v>
      </c>
      <c r="B1925" s="839"/>
      <c r="C1925" s="839"/>
      <c r="D1925" s="839"/>
      <c r="E1925" s="839"/>
      <c r="F1925" s="840"/>
      <c r="G1925" s="103">
        <f>SUM(G1923,G1917,G1911)</f>
        <v>134.44300000000001</v>
      </c>
    </row>
    <row r="1928" spans="1:11">
      <c r="A1928" s="237" t="s">
        <v>131</v>
      </c>
      <c r="B1928" s="190" t="s">
        <v>27</v>
      </c>
      <c r="C1928" s="841" t="s">
        <v>1281</v>
      </c>
      <c r="D1928" s="841"/>
      <c r="E1928" s="841"/>
      <c r="F1928" s="841"/>
      <c r="G1928" s="81" t="s">
        <v>127</v>
      </c>
      <c r="I1928" s="480" t="s">
        <v>1901</v>
      </c>
      <c r="J1928" s="80"/>
      <c r="K1928" s="80"/>
    </row>
    <row r="1929" spans="1:11" ht="50.1" customHeight="1">
      <c r="A1929" s="179" t="s">
        <v>567</v>
      </c>
      <c r="B1929" s="82"/>
      <c r="C1929" s="830" t="s">
        <v>568</v>
      </c>
      <c r="D1929" s="831"/>
      <c r="E1929" s="831"/>
      <c r="F1929" s="186">
        <f>G1948</f>
        <v>76.391239999999996</v>
      </c>
      <c r="G1929" s="83" t="s">
        <v>167</v>
      </c>
      <c r="I1929" s="481"/>
      <c r="J1929" s="272"/>
      <c r="K1929" s="272"/>
    </row>
    <row r="1930" spans="1:11">
      <c r="A1930" s="818" t="s">
        <v>1902</v>
      </c>
      <c r="B1930" s="819"/>
      <c r="C1930" s="819"/>
      <c r="D1930" s="819"/>
      <c r="E1930" s="819"/>
      <c r="F1930" s="819"/>
      <c r="G1930" s="820"/>
    </row>
    <row r="1931" spans="1:11">
      <c r="A1931" s="84" t="s">
        <v>1903</v>
      </c>
      <c r="B1931" s="84" t="s">
        <v>131</v>
      </c>
      <c r="C1931" s="160" t="s">
        <v>1904</v>
      </c>
      <c r="D1931" s="84" t="s">
        <v>167</v>
      </c>
      <c r="E1931" s="85" t="s">
        <v>1905</v>
      </c>
      <c r="F1931" s="86" t="s">
        <v>1906</v>
      </c>
      <c r="G1931" s="86" t="s">
        <v>1907</v>
      </c>
    </row>
    <row r="1932" spans="1:11" ht="24">
      <c r="A1932" s="87" t="s">
        <v>1917</v>
      </c>
      <c r="B1932" s="87" t="s">
        <v>2040</v>
      </c>
      <c r="C1932" s="278" t="s">
        <v>568</v>
      </c>
      <c r="D1932" s="89" t="s">
        <v>167</v>
      </c>
      <c r="E1932" s="88">
        <v>1</v>
      </c>
      <c r="F1932" s="89">
        <f>'Mapa Cotações'!M78</f>
        <v>48.678840000000001</v>
      </c>
      <c r="G1932" s="89">
        <f>F1932*E1932</f>
        <v>48.678840000000001</v>
      </c>
    </row>
    <row r="1933" spans="1:11">
      <c r="A1933" s="87"/>
      <c r="B1933" s="87"/>
      <c r="C1933" s="278" t="s">
        <v>34</v>
      </c>
      <c r="D1933" s="89" t="s">
        <v>34</v>
      </c>
      <c r="E1933" s="88"/>
      <c r="F1933" s="89" t="s">
        <v>34</v>
      </c>
      <c r="G1933" s="89" t="s">
        <v>34</v>
      </c>
    </row>
    <row r="1934" spans="1:11">
      <c r="A1934" s="832" t="s">
        <v>1908</v>
      </c>
      <c r="B1934" s="833"/>
      <c r="C1934" s="833"/>
      <c r="D1934" s="833"/>
      <c r="E1934" s="833"/>
      <c r="F1934" s="834"/>
      <c r="G1934" s="90">
        <f>SUM(G1932:G1933)</f>
        <v>48.678840000000001</v>
      </c>
    </row>
    <row r="1935" spans="1:11">
      <c r="A1935" s="91"/>
      <c r="B1935" s="92"/>
      <c r="C1935" s="161"/>
      <c r="D1935" s="93"/>
      <c r="E1935" s="94"/>
      <c r="F1935" s="95"/>
      <c r="G1935" s="96"/>
    </row>
    <row r="1936" spans="1:11">
      <c r="A1936" s="835" t="s">
        <v>1909</v>
      </c>
      <c r="B1936" s="836"/>
      <c r="C1936" s="836"/>
      <c r="D1936" s="836"/>
      <c r="E1936" s="836"/>
      <c r="F1936" s="836"/>
      <c r="G1936" s="837"/>
    </row>
    <row r="1937" spans="1:11">
      <c r="A1937" s="84" t="s">
        <v>1903</v>
      </c>
      <c r="B1937" s="84" t="s">
        <v>131</v>
      </c>
      <c r="C1937" s="160" t="s">
        <v>1904</v>
      </c>
      <c r="D1937" s="84" t="s">
        <v>167</v>
      </c>
      <c r="E1937" s="85" t="s">
        <v>1905</v>
      </c>
      <c r="F1937" s="86" t="s">
        <v>1906</v>
      </c>
      <c r="G1937" s="86" t="s">
        <v>1907</v>
      </c>
    </row>
    <row r="1938" spans="1:11" ht="24">
      <c r="A1938" s="87" t="s">
        <v>2</v>
      </c>
      <c r="B1938" s="87">
        <v>88248</v>
      </c>
      <c r="C1938" s="278" t="s">
        <v>1947</v>
      </c>
      <c r="D1938" s="89" t="s">
        <v>137</v>
      </c>
      <c r="E1938" s="88">
        <v>0.57999999999999996</v>
      </c>
      <c r="F1938" s="89">
        <v>21.45</v>
      </c>
      <c r="G1938" s="89">
        <f>F1938*E1938</f>
        <v>12.440999999999999</v>
      </c>
    </row>
    <row r="1939" spans="1:11" ht="24">
      <c r="A1939" s="87" t="s">
        <v>2</v>
      </c>
      <c r="B1939" s="87">
        <v>88267</v>
      </c>
      <c r="C1939" s="278" t="s">
        <v>1949</v>
      </c>
      <c r="D1939" s="89" t="s">
        <v>137</v>
      </c>
      <c r="E1939" s="88">
        <v>0.57999999999999996</v>
      </c>
      <c r="F1939" s="89">
        <v>26.33</v>
      </c>
      <c r="G1939" s="89">
        <f>F1939*E1939</f>
        <v>15.271399999999998</v>
      </c>
    </row>
    <row r="1940" spans="1:11">
      <c r="A1940" s="832" t="s">
        <v>1908</v>
      </c>
      <c r="B1940" s="833"/>
      <c r="C1940" s="833"/>
      <c r="D1940" s="833"/>
      <c r="E1940" s="833"/>
      <c r="F1940" s="834"/>
      <c r="G1940" s="90">
        <f>SUM(G1938:G1939)</f>
        <v>27.712399999999995</v>
      </c>
    </row>
    <row r="1941" spans="1:11">
      <c r="A1941" s="91"/>
      <c r="B1941" s="92"/>
      <c r="C1941" s="162"/>
      <c r="D1941" s="92"/>
      <c r="E1941" s="97"/>
      <c r="F1941" s="98"/>
      <c r="G1941" s="96"/>
    </row>
    <row r="1942" spans="1:11">
      <c r="A1942" s="835" t="s">
        <v>1912</v>
      </c>
      <c r="B1942" s="836"/>
      <c r="C1942" s="836"/>
      <c r="D1942" s="836"/>
      <c r="E1942" s="836"/>
      <c r="F1942" s="836"/>
      <c r="G1942" s="837"/>
    </row>
    <row r="1943" spans="1:11">
      <c r="A1943" s="84" t="s">
        <v>1903</v>
      </c>
      <c r="B1943" s="84" t="s">
        <v>131</v>
      </c>
      <c r="C1943" s="160" t="s">
        <v>1904</v>
      </c>
      <c r="D1943" s="84" t="s">
        <v>167</v>
      </c>
      <c r="E1943" s="85" t="s">
        <v>1905</v>
      </c>
      <c r="F1943" s="86" t="s">
        <v>1906</v>
      </c>
      <c r="G1943" s="86" t="s">
        <v>1907</v>
      </c>
    </row>
    <row r="1944" spans="1:11">
      <c r="A1944" s="87"/>
      <c r="B1944" s="87"/>
      <c r="C1944" s="278" t="s">
        <v>34</v>
      </c>
      <c r="D1944" s="89" t="s">
        <v>34</v>
      </c>
      <c r="E1944" s="88"/>
      <c r="F1944" s="89" t="s">
        <v>34</v>
      </c>
      <c r="G1944" s="89" t="s">
        <v>34</v>
      </c>
    </row>
    <row r="1945" spans="1:11">
      <c r="A1945" s="87"/>
      <c r="B1945" s="87"/>
      <c r="C1945" s="278" t="s">
        <v>34</v>
      </c>
      <c r="D1945" s="89" t="s">
        <v>34</v>
      </c>
      <c r="E1945" s="88"/>
      <c r="F1945" s="89" t="s">
        <v>34</v>
      </c>
      <c r="G1945" s="89" t="s">
        <v>34</v>
      </c>
    </row>
    <row r="1946" spans="1:11">
      <c r="A1946" s="832" t="s">
        <v>1908</v>
      </c>
      <c r="B1946" s="833" t="s">
        <v>1908</v>
      </c>
      <c r="C1946" s="833"/>
      <c r="D1946" s="833"/>
      <c r="E1946" s="833"/>
      <c r="F1946" s="834"/>
      <c r="G1946" s="90" t="s">
        <v>34</v>
      </c>
    </row>
    <row r="1947" spans="1:11" ht="13.5" thickBot="1">
      <c r="A1947" s="91"/>
      <c r="B1947" s="92"/>
      <c r="C1947" s="163"/>
      <c r="D1947" s="99"/>
      <c r="E1947" s="100"/>
      <c r="F1947" s="101"/>
      <c r="G1947" s="102"/>
    </row>
    <row r="1948" spans="1:11" ht="13.5" thickBot="1">
      <c r="A1948" s="838" t="s">
        <v>1259</v>
      </c>
      <c r="B1948" s="839"/>
      <c r="C1948" s="839"/>
      <c r="D1948" s="839"/>
      <c r="E1948" s="839"/>
      <c r="F1948" s="840"/>
      <c r="G1948" s="103">
        <f>SUM(G1946,G1940,G1934)</f>
        <v>76.391239999999996</v>
      </c>
    </row>
    <row r="1951" spans="1:11">
      <c r="A1951" s="237" t="s">
        <v>131</v>
      </c>
      <c r="B1951" s="190" t="s">
        <v>27</v>
      </c>
      <c r="C1951" s="841" t="s">
        <v>1281</v>
      </c>
      <c r="D1951" s="841"/>
      <c r="E1951" s="841"/>
      <c r="F1951" s="841"/>
      <c r="G1951" s="81" t="s">
        <v>127</v>
      </c>
      <c r="I1951" s="480" t="s">
        <v>1901</v>
      </c>
      <c r="J1951" s="80"/>
      <c r="K1951" s="80"/>
    </row>
    <row r="1952" spans="1:11" ht="50.1" customHeight="1">
      <c r="A1952" s="179" t="s">
        <v>570</v>
      </c>
      <c r="B1952" s="82"/>
      <c r="C1952" s="830" t="s">
        <v>571</v>
      </c>
      <c r="D1952" s="831"/>
      <c r="E1952" s="831"/>
      <c r="F1952" s="186">
        <f>G1971</f>
        <v>62.548999999999999</v>
      </c>
      <c r="G1952" s="83" t="s">
        <v>167</v>
      </c>
      <c r="I1952" s="481"/>
      <c r="J1952" s="272"/>
      <c r="K1952" s="272"/>
    </row>
    <row r="1953" spans="1:7">
      <c r="A1953" s="818" t="s">
        <v>1902</v>
      </c>
      <c r="B1953" s="819"/>
      <c r="C1953" s="819"/>
      <c r="D1953" s="819"/>
      <c r="E1953" s="819"/>
      <c r="F1953" s="819"/>
      <c r="G1953" s="820"/>
    </row>
    <row r="1954" spans="1:7">
      <c r="A1954" s="84" t="s">
        <v>1903</v>
      </c>
      <c r="B1954" s="84" t="s">
        <v>131</v>
      </c>
      <c r="C1954" s="160" t="s">
        <v>1904</v>
      </c>
      <c r="D1954" s="84" t="s">
        <v>167</v>
      </c>
      <c r="E1954" s="85" t="s">
        <v>1905</v>
      </c>
      <c r="F1954" s="86" t="s">
        <v>1906</v>
      </c>
      <c r="G1954" s="86" t="s">
        <v>1907</v>
      </c>
    </row>
    <row r="1955" spans="1:7" ht="24">
      <c r="A1955" s="87" t="s">
        <v>1917</v>
      </c>
      <c r="B1955" s="87" t="s">
        <v>2041</v>
      </c>
      <c r="C1955" s="278" t="s">
        <v>571</v>
      </c>
      <c r="D1955" s="89" t="s">
        <v>167</v>
      </c>
      <c r="E1955" s="88">
        <v>1</v>
      </c>
      <c r="F1955" s="89">
        <f>'Mapa Cotações'!M79</f>
        <v>37.703400000000002</v>
      </c>
      <c r="G1955" s="89">
        <f>F1955*E1955</f>
        <v>37.703400000000002</v>
      </c>
    </row>
    <row r="1956" spans="1:7">
      <c r="A1956" s="87"/>
      <c r="B1956" s="87"/>
      <c r="C1956" s="278" t="s">
        <v>34</v>
      </c>
      <c r="D1956" s="89" t="s">
        <v>34</v>
      </c>
      <c r="E1956" s="88"/>
      <c r="F1956" s="89" t="s">
        <v>34</v>
      </c>
      <c r="G1956" s="89" t="s">
        <v>34</v>
      </c>
    </row>
    <row r="1957" spans="1:7">
      <c r="A1957" s="832" t="s">
        <v>1908</v>
      </c>
      <c r="B1957" s="833"/>
      <c r="C1957" s="833"/>
      <c r="D1957" s="833"/>
      <c r="E1957" s="833"/>
      <c r="F1957" s="834"/>
      <c r="G1957" s="90">
        <f>SUM(G1955:G1956)</f>
        <v>37.703400000000002</v>
      </c>
    </row>
    <row r="1958" spans="1:7">
      <c r="A1958" s="91"/>
      <c r="B1958" s="92"/>
      <c r="C1958" s="161"/>
      <c r="D1958" s="93"/>
      <c r="E1958" s="94"/>
      <c r="F1958" s="95"/>
      <c r="G1958" s="96"/>
    </row>
    <row r="1959" spans="1:7">
      <c r="A1959" s="835" t="s">
        <v>1909</v>
      </c>
      <c r="B1959" s="836"/>
      <c r="C1959" s="836"/>
      <c r="D1959" s="836"/>
      <c r="E1959" s="836"/>
      <c r="F1959" s="836"/>
      <c r="G1959" s="837"/>
    </row>
    <row r="1960" spans="1:7">
      <c r="A1960" s="84" t="s">
        <v>1903</v>
      </c>
      <c r="B1960" s="84" t="s">
        <v>131</v>
      </c>
      <c r="C1960" s="160" t="s">
        <v>1904</v>
      </c>
      <c r="D1960" s="84" t="s">
        <v>167</v>
      </c>
      <c r="E1960" s="85" t="s">
        <v>1905</v>
      </c>
      <c r="F1960" s="86" t="s">
        <v>1906</v>
      </c>
      <c r="G1960" s="86" t="s">
        <v>1907</v>
      </c>
    </row>
    <row r="1961" spans="1:7" ht="24">
      <c r="A1961" s="87" t="s">
        <v>2</v>
      </c>
      <c r="B1961" s="87">
        <v>88248</v>
      </c>
      <c r="C1961" s="278" t="s">
        <v>1947</v>
      </c>
      <c r="D1961" s="89" t="s">
        <v>137</v>
      </c>
      <c r="E1961" s="88">
        <v>0.52</v>
      </c>
      <c r="F1961" s="89">
        <v>21.45</v>
      </c>
      <c r="G1961" s="89">
        <f>F1961*E1961</f>
        <v>11.154</v>
      </c>
    </row>
    <row r="1962" spans="1:7" ht="24">
      <c r="A1962" s="87" t="s">
        <v>2</v>
      </c>
      <c r="B1962" s="87">
        <v>88267</v>
      </c>
      <c r="C1962" s="278" t="s">
        <v>1949</v>
      </c>
      <c r="D1962" s="89" t="s">
        <v>137</v>
      </c>
      <c r="E1962" s="88">
        <v>0.52</v>
      </c>
      <c r="F1962" s="89">
        <v>26.33</v>
      </c>
      <c r="G1962" s="89">
        <f>F1962*E1962</f>
        <v>13.691599999999999</v>
      </c>
    </row>
    <row r="1963" spans="1:7">
      <c r="A1963" s="832" t="s">
        <v>1908</v>
      </c>
      <c r="B1963" s="833"/>
      <c r="C1963" s="833"/>
      <c r="D1963" s="833"/>
      <c r="E1963" s="833"/>
      <c r="F1963" s="834"/>
      <c r="G1963" s="90">
        <f>SUM(G1961:G1962)</f>
        <v>24.845599999999997</v>
      </c>
    </row>
    <row r="1964" spans="1:7">
      <c r="A1964" s="91"/>
      <c r="B1964" s="92"/>
      <c r="C1964" s="162"/>
      <c r="D1964" s="92"/>
      <c r="E1964" s="97"/>
      <c r="F1964" s="98"/>
      <c r="G1964" s="96"/>
    </row>
    <row r="1965" spans="1:7">
      <c r="A1965" s="835" t="s">
        <v>1912</v>
      </c>
      <c r="B1965" s="836"/>
      <c r="C1965" s="836"/>
      <c r="D1965" s="836"/>
      <c r="E1965" s="836"/>
      <c r="F1965" s="836"/>
      <c r="G1965" s="837"/>
    </row>
    <row r="1966" spans="1:7">
      <c r="A1966" s="84" t="s">
        <v>1903</v>
      </c>
      <c r="B1966" s="84" t="s">
        <v>131</v>
      </c>
      <c r="C1966" s="160" t="s">
        <v>1904</v>
      </c>
      <c r="D1966" s="84" t="s">
        <v>167</v>
      </c>
      <c r="E1966" s="85" t="s">
        <v>1905</v>
      </c>
      <c r="F1966" s="86" t="s">
        <v>1906</v>
      </c>
      <c r="G1966" s="86" t="s">
        <v>1907</v>
      </c>
    </row>
    <row r="1967" spans="1:7">
      <c r="A1967" s="87"/>
      <c r="B1967" s="87"/>
      <c r="C1967" s="278" t="s">
        <v>34</v>
      </c>
      <c r="D1967" s="89" t="s">
        <v>34</v>
      </c>
      <c r="E1967" s="88"/>
      <c r="F1967" s="89" t="s">
        <v>34</v>
      </c>
      <c r="G1967" s="89" t="s">
        <v>34</v>
      </c>
    </row>
    <row r="1968" spans="1:7">
      <c r="A1968" s="87"/>
      <c r="B1968" s="87"/>
      <c r="C1968" s="278" t="s">
        <v>34</v>
      </c>
      <c r="D1968" s="89" t="s">
        <v>34</v>
      </c>
      <c r="E1968" s="88"/>
      <c r="F1968" s="89" t="s">
        <v>34</v>
      </c>
      <c r="G1968" s="89" t="s">
        <v>34</v>
      </c>
    </row>
    <row r="1969" spans="1:11">
      <c r="A1969" s="832" t="s">
        <v>1908</v>
      </c>
      <c r="B1969" s="833" t="s">
        <v>1908</v>
      </c>
      <c r="C1969" s="833"/>
      <c r="D1969" s="833"/>
      <c r="E1969" s="833"/>
      <c r="F1969" s="834"/>
      <c r="G1969" s="90" t="s">
        <v>34</v>
      </c>
    </row>
    <row r="1970" spans="1:11" ht="13.5" thickBot="1">
      <c r="A1970" s="91"/>
      <c r="B1970" s="92"/>
      <c r="C1970" s="163"/>
      <c r="D1970" s="99"/>
      <c r="E1970" s="100"/>
      <c r="F1970" s="101"/>
      <c r="G1970" s="102"/>
    </row>
    <row r="1971" spans="1:11" ht="13.5" thickBot="1">
      <c r="A1971" s="838" t="s">
        <v>1259</v>
      </c>
      <c r="B1971" s="839"/>
      <c r="C1971" s="839"/>
      <c r="D1971" s="839"/>
      <c r="E1971" s="839"/>
      <c r="F1971" s="840"/>
      <c r="G1971" s="103">
        <f>G1963+G1957</f>
        <v>62.548999999999999</v>
      </c>
    </row>
    <row r="1974" spans="1:11">
      <c r="A1974" s="237" t="s">
        <v>131</v>
      </c>
      <c r="B1974" s="190" t="s">
        <v>27</v>
      </c>
      <c r="C1974" s="841" t="s">
        <v>1281</v>
      </c>
      <c r="D1974" s="841"/>
      <c r="E1974" s="841"/>
      <c r="F1974" s="841"/>
      <c r="G1974" s="81" t="s">
        <v>127</v>
      </c>
      <c r="I1974" s="480" t="s">
        <v>1901</v>
      </c>
      <c r="J1974" s="80"/>
      <c r="K1974" s="80"/>
    </row>
    <row r="1975" spans="1:11" ht="50.1" customHeight="1">
      <c r="A1975" s="179" t="s">
        <v>573</v>
      </c>
      <c r="B1975" s="82"/>
      <c r="C1975" s="830" t="s">
        <v>574</v>
      </c>
      <c r="D1975" s="831"/>
      <c r="E1975" s="831"/>
      <c r="F1975" s="186">
        <f>G1994</f>
        <v>74.558357999999998</v>
      </c>
      <c r="G1975" s="83" t="s">
        <v>167</v>
      </c>
      <c r="I1975" s="481"/>
      <c r="J1975" s="272"/>
      <c r="K1975" s="272"/>
    </row>
    <row r="1976" spans="1:11">
      <c r="A1976" s="818" t="s">
        <v>1902</v>
      </c>
      <c r="B1976" s="819"/>
      <c r="C1976" s="819"/>
      <c r="D1976" s="819"/>
      <c r="E1976" s="819"/>
      <c r="F1976" s="819"/>
      <c r="G1976" s="820"/>
    </row>
    <row r="1977" spans="1:11">
      <c r="A1977" s="84" t="s">
        <v>1903</v>
      </c>
      <c r="B1977" s="84" t="s">
        <v>131</v>
      </c>
      <c r="C1977" s="160" t="s">
        <v>1904</v>
      </c>
      <c r="D1977" s="84" t="s">
        <v>167</v>
      </c>
      <c r="E1977" s="85" t="s">
        <v>1905</v>
      </c>
      <c r="F1977" s="86" t="s">
        <v>1906</v>
      </c>
      <c r="G1977" s="86" t="s">
        <v>1907</v>
      </c>
    </row>
    <row r="1978" spans="1:11" ht="24">
      <c r="A1978" s="87" t="s">
        <v>1917</v>
      </c>
      <c r="B1978" s="87" t="s">
        <v>2042</v>
      </c>
      <c r="C1978" s="278" t="s">
        <v>574</v>
      </c>
      <c r="D1978" s="89" t="s">
        <v>167</v>
      </c>
      <c r="E1978" s="88">
        <v>1</v>
      </c>
      <c r="F1978" s="89">
        <f>'Mapa Cotações'!M80</f>
        <v>32.817749999999997</v>
      </c>
      <c r="G1978" s="89">
        <f>F1978*E1978</f>
        <v>32.817749999999997</v>
      </c>
    </row>
    <row r="1979" spans="1:11">
      <c r="A1979" s="87"/>
      <c r="B1979" s="87"/>
      <c r="C1979" s="278" t="s">
        <v>34</v>
      </c>
      <c r="D1979" s="89" t="s">
        <v>34</v>
      </c>
      <c r="E1979" s="88"/>
      <c r="F1979" s="89" t="s">
        <v>34</v>
      </c>
      <c r="G1979" s="89" t="s">
        <v>34</v>
      </c>
    </row>
    <row r="1980" spans="1:11">
      <c r="A1980" s="832" t="s">
        <v>1908</v>
      </c>
      <c r="B1980" s="833"/>
      <c r="C1980" s="833"/>
      <c r="D1980" s="833"/>
      <c r="E1980" s="833"/>
      <c r="F1980" s="834"/>
      <c r="G1980" s="90">
        <f>SUM(G1978:G1979)</f>
        <v>32.817749999999997</v>
      </c>
    </row>
    <row r="1981" spans="1:11">
      <c r="A1981" s="91"/>
      <c r="B1981" s="92"/>
      <c r="C1981" s="161"/>
      <c r="D1981" s="93"/>
      <c r="E1981" s="94"/>
      <c r="F1981" s="95"/>
      <c r="G1981" s="96"/>
    </row>
    <row r="1982" spans="1:11">
      <c r="A1982" s="835" t="s">
        <v>1909</v>
      </c>
      <c r="B1982" s="836"/>
      <c r="C1982" s="836"/>
      <c r="D1982" s="836"/>
      <c r="E1982" s="836"/>
      <c r="F1982" s="836"/>
      <c r="G1982" s="837"/>
    </row>
    <row r="1983" spans="1:11">
      <c r="A1983" s="84" t="s">
        <v>1903</v>
      </c>
      <c r="B1983" s="84" t="s">
        <v>131</v>
      </c>
      <c r="C1983" s="160" t="s">
        <v>1904</v>
      </c>
      <c r="D1983" s="84" t="s">
        <v>167</v>
      </c>
      <c r="E1983" s="85" t="s">
        <v>1905</v>
      </c>
      <c r="F1983" s="86" t="s">
        <v>1906</v>
      </c>
      <c r="G1983" s="86" t="s">
        <v>1907</v>
      </c>
    </row>
    <row r="1984" spans="1:11" ht="24">
      <c r="A1984" s="87" t="s">
        <v>2</v>
      </c>
      <c r="B1984" s="87">
        <v>88248</v>
      </c>
      <c r="C1984" s="278" t="s">
        <v>1947</v>
      </c>
      <c r="D1984" s="89" t="s">
        <v>137</v>
      </c>
      <c r="E1984" s="88">
        <v>0.87360000000000004</v>
      </c>
      <c r="F1984" s="89">
        <v>21.45</v>
      </c>
      <c r="G1984" s="89">
        <v>18.738720000000001</v>
      </c>
    </row>
    <row r="1985" spans="1:11" ht="24">
      <c r="A1985" s="87" t="s">
        <v>2</v>
      </c>
      <c r="B1985" s="87">
        <v>88267</v>
      </c>
      <c r="C1985" s="278" t="s">
        <v>1949</v>
      </c>
      <c r="D1985" s="89" t="s">
        <v>137</v>
      </c>
      <c r="E1985" s="88">
        <v>0.87360000000000004</v>
      </c>
      <c r="F1985" s="89">
        <v>26.33</v>
      </c>
      <c r="G1985" s="89">
        <v>23.001888000000001</v>
      </c>
    </row>
    <row r="1986" spans="1:11">
      <c r="A1986" s="832" t="s">
        <v>1908</v>
      </c>
      <c r="B1986" s="833"/>
      <c r="C1986" s="833"/>
      <c r="D1986" s="833"/>
      <c r="E1986" s="833"/>
      <c r="F1986" s="834"/>
      <c r="G1986" s="90">
        <v>41.740608000000002</v>
      </c>
    </row>
    <row r="1987" spans="1:11">
      <c r="A1987" s="91"/>
      <c r="B1987" s="92"/>
      <c r="C1987" s="162"/>
      <c r="D1987" s="92"/>
      <c r="E1987" s="97"/>
      <c r="F1987" s="98"/>
      <c r="G1987" s="96"/>
    </row>
    <row r="1988" spans="1:11">
      <c r="A1988" s="835" t="s">
        <v>1912</v>
      </c>
      <c r="B1988" s="836"/>
      <c r="C1988" s="836"/>
      <c r="D1988" s="836"/>
      <c r="E1988" s="836"/>
      <c r="F1988" s="836"/>
      <c r="G1988" s="837"/>
    </row>
    <row r="1989" spans="1:11">
      <c r="A1989" s="84" t="s">
        <v>1903</v>
      </c>
      <c r="B1989" s="84" t="s">
        <v>131</v>
      </c>
      <c r="C1989" s="160" t="s">
        <v>1904</v>
      </c>
      <c r="D1989" s="84" t="s">
        <v>167</v>
      </c>
      <c r="E1989" s="85" t="s">
        <v>1905</v>
      </c>
      <c r="F1989" s="86" t="s">
        <v>1906</v>
      </c>
      <c r="G1989" s="86" t="s">
        <v>1907</v>
      </c>
    </row>
    <row r="1990" spans="1:11">
      <c r="A1990" s="87"/>
      <c r="B1990" s="87"/>
      <c r="C1990" s="278" t="s">
        <v>34</v>
      </c>
      <c r="D1990" s="89" t="s">
        <v>34</v>
      </c>
      <c r="E1990" s="88"/>
      <c r="F1990" s="89" t="s">
        <v>34</v>
      </c>
      <c r="G1990" s="89" t="s">
        <v>34</v>
      </c>
    </row>
    <row r="1991" spans="1:11">
      <c r="A1991" s="87"/>
      <c r="B1991" s="87"/>
      <c r="C1991" s="278" t="s">
        <v>34</v>
      </c>
      <c r="D1991" s="89" t="s">
        <v>34</v>
      </c>
      <c r="E1991" s="88"/>
      <c r="F1991" s="89" t="s">
        <v>34</v>
      </c>
      <c r="G1991" s="89" t="s">
        <v>34</v>
      </c>
    </row>
    <row r="1992" spans="1:11">
      <c r="A1992" s="832" t="s">
        <v>1908</v>
      </c>
      <c r="B1992" s="833" t="s">
        <v>1908</v>
      </c>
      <c r="C1992" s="833"/>
      <c r="D1992" s="833"/>
      <c r="E1992" s="833"/>
      <c r="F1992" s="834"/>
      <c r="G1992" s="90" t="s">
        <v>34</v>
      </c>
    </row>
    <row r="1993" spans="1:11" ht="13.5" thickBot="1">
      <c r="A1993" s="91"/>
      <c r="B1993" s="92"/>
      <c r="C1993" s="163"/>
      <c r="D1993" s="99"/>
      <c r="E1993" s="100"/>
      <c r="F1993" s="101"/>
      <c r="G1993" s="102"/>
    </row>
    <row r="1994" spans="1:11" ht="13.5" thickBot="1">
      <c r="A1994" s="838" t="s">
        <v>1259</v>
      </c>
      <c r="B1994" s="839"/>
      <c r="C1994" s="839"/>
      <c r="D1994" s="839"/>
      <c r="E1994" s="839"/>
      <c r="F1994" s="840"/>
      <c r="G1994" s="103">
        <f>G1986+G1980</f>
        <v>74.558357999999998</v>
      </c>
    </row>
    <row r="1997" spans="1:11">
      <c r="A1997" s="237" t="s">
        <v>131</v>
      </c>
      <c r="B1997" s="190" t="s">
        <v>27</v>
      </c>
      <c r="C1997" s="841" t="s">
        <v>1281</v>
      </c>
      <c r="D1997" s="841"/>
      <c r="E1997" s="841"/>
      <c r="F1997" s="841"/>
      <c r="G1997" s="81" t="s">
        <v>127</v>
      </c>
      <c r="I1997" s="480" t="s">
        <v>1901</v>
      </c>
      <c r="J1997" s="80"/>
      <c r="K1997" s="80"/>
    </row>
    <row r="1998" spans="1:11" ht="50.1" customHeight="1">
      <c r="A1998" s="179" t="s">
        <v>576</v>
      </c>
      <c r="B1998" s="82"/>
      <c r="C1998" s="830" t="s">
        <v>577</v>
      </c>
      <c r="D1998" s="831"/>
      <c r="E1998" s="831"/>
      <c r="F1998" s="186">
        <f>G2017</f>
        <v>57.609005999999994</v>
      </c>
      <c r="G1998" s="83" t="s">
        <v>167</v>
      </c>
      <c r="I1998" s="481"/>
      <c r="J1998" s="272"/>
      <c r="K1998" s="272"/>
    </row>
    <row r="1999" spans="1:11">
      <c r="A1999" s="818" t="s">
        <v>1902</v>
      </c>
      <c r="B1999" s="819"/>
      <c r="C1999" s="819"/>
      <c r="D1999" s="819"/>
      <c r="E1999" s="819"/>
      <c r="F1999" s="819"/>
      <c r="G1999" s="820"/>
    </row>
    <row r="2000" spans="1:11">
      <c r="A2000" s="84" t="s">
        <v>1903</v>
      </c>
      <c r="B2000" s="84" t="s">
        <v>131</v>
      </c>
      <c r="C2000" s="160" t="s">
        <v>1904</v>
      </c>
      <c r="D2000" s="84" t="s">
        <v>167</v>
      </c>
      <c r="E2000" s="85" t="s">
        <v>1905</v>
      </c>
      <c r="F2000" s="86" t="s">
        <v>1906</v>
      </c>
      <c r="G2000" s="86" t="s">
        <v>1907</v>
      </c>
    </row>
    <row r="2001" spans="1:7" ht="24">
      <c r="A2001" s="87" t="s">
        <v>1917</v>
      </c>
      <c r="B2001" s="87" t="s">
        <v>2043</v>
      </c>
      <c r="C2001" s="278" t="s">
        <v>577</v>
      </c>
      <c r="D2001" s="89" t="s">
        <v>167</v>
      </c>
      <c r="E2001" s="88">
        <v>1</v>
      </c>
      <c r="F2001" s="89">
        <f>'Mapa Cotações'!M81</f>
        <v>26.303549999999998</v>
      </c>
      <c r="G2001" s="89">
        <f>F2001*E2001</f>
        <v>26.303549999999998</v>
      </c>
    </row>
    <row r="2002" spans="1:7">
      <c r="A2002" s="87"/>
      <c r="B2002" s="87"/>
      <c r="C2002" s="278" t="s">
        <v>34</v>
      </c>
      <c r="D2002" s="89" t="s">
        <v>34</v>
      </c>
      <c r="E2002" s="88"/>
      <c r="F2002" s="89" t="s">
        <v>34</v>
      </c>
      <c r="G2002" s="89" t="s">
        <v>34</v>
      </c>
    </row>
    <row r="2003" spans="1:7">
      <c r="A2003" s="832" t="s">
        <v>1908</v>
      </c>
      <c r="B2003" s="833"/>
      <c r="C2003" s="833"/>
      <c r="D2003" s="833"/>
      <c r="E2003" s="833"/>
      <c r="F2003" s="834"/>
      <c r="G2003" s="90">
        <f>SUM(G2001:G2002)</f>
        <v>26.303549999999998</v>
      </c>
    </row>
    <row r="2004" spans="1:7">
      <c r="A2004" s="91"/>
      <c r="B2004" s="92"/>
      <c r="C2004" s="161"/>
      <c r="D2004" s="93"/>
      <c r="E2004" s="94"/>
      <c r="F2004" s="95"/>
      <c r="G2004" s="96"/>
    </row>
    <row r="2005" spans="1:7">
      <c r="A2005" s="835" t="s">
        <v>1909</v>
      </c>
      <c r="B2005" s="836"/>
      <c r="C2005" s="836"/>
      <c r="D2005" s="836"/>
      <c r="E2005" s="836"/>
      <c r="F2005" s="836"/>
      <c r="G2005" s="837"/>
    </row>
    <row r="2006" spans="1:7">
      <c r="A2006" s="84" t="s">
        <v>1903</v>
      </c>
      <c r="B2006" s="84" t="s">
        <v>131</v>
      </c>
      <c r="C2006" s="160" t="s">
        <v>1904</v>
      </c>
      <c r="D2006" s="84" t="s">
        <v>167</v>
      </c>
      <c r="E2006" s="85" t="s">
        <v>1905</v>
      </c>
      <c r="F2006" s="86" t="s">
        <v>1906</v>
      </c>
      <c r="G2006" s="86" t="s">
        <v>1907</v>
      </c>
    </row>
    <row r="2007" spans="1:7" ht="24">
      <c r="A2007" s="87" t="s">
        <v>2</v>
      </c>
      <c r="B2007" s="87">
        <v>88248</v>
      </c>
      <c r="C2007" s="278" t="s">
        <v>1947</v>
      </c>
      <c r="D2007" s="89" t="s">
        <v>137</v>
      </c>
      <c r="E2007" s="88">
        <v>0.6552</v>
      </c>
      <c r="F2007" s="89">
        <v>21.45</v>
      </c>
      <c r="G2007" s="89">
        <v>14.054039999999999</v>
      </c>
    </row>
    <row r="2008" spans="1:7" ht="24">
      <c r="A2008" s="87" t="s">
        <v>2</v>
      </c>
      <c r="B2008" s="87">
        <v>88267</v>
      </c>
      <c r="C2008" s="278" t="s">
        <v>1949</v>
      </c>
      <c r="D2008" s="89" t="s">
        <v>137</v>
      </c>
      <c r="E2008" s="88">
        <v>0.6552</v>
      </c>
      <c r="F2008" s="89">
        <v>26.33</v>
      </c>
      <c r="G2008" s="89">
        <v>17.251415999999999</v>
      </c>
    </row>
    <row r="2009" spans="1:7">
      <c r="A2009" s="832" t="s">
        <v>1908</v>
      </c>
      <c r="B2009" s="833"/>
      <c r="C2009" s="833"/>
      <c r="D2009" s="833"/>
      <c r="E2009" s="833"/>
      <c r="F2009" s="834"/>
      <c r="G2009" s="90">
        <v>31.305456</v>
      </c>
    </row>
    <row r="2010" spans="1:7">
      <c r="A2010" s="91"/>
      <c r="B2010" s="92"/>
      <c r="C2010" s="162"/>
      <c r="D2010" s="92"/>
      <c r="E2010" s="97"/>
      <c r="F2010" s="98"/>
      <c r="G2010" s="96"/>
    </row>
    <row r="2011" spans="1:7">
      <c r="A2011" s="835" t="s">
        <v>1912</v>
      </c>
      <c r="B2011" s="836"/>
      <c r="C2011" s="836"/>
      <c r="D2011" s="836"/>
      <c r="E2011" s="836"/>
      <c r="F2011" s="836"/>
      <c r="G2011" s="837"/>
    </row>
    <row r="2012" spans="1:7">
      <c r="A2012" s="84" t="s">
        <v>1903</v>
      </c>
      <c r="B2012" s="84" t="s">
        <v>131</v>
      </c>
      <c r="C2012" s="160" t="s">
        <v>1904</v>
      </c>
      <c r="D2012" s="84" t="s">
        <v>167</v>
      </c>
      <c r="E2012" s="85" t="s">
        <v>1905</v>
      </c>
      <c r="F2012" s="86" t="s">
        <v>1906</v>
      </c>
      <c r="G2012" s="86" t="s">
        <v>1907</v>
      </c>
    </row>
    <row r="2013" spans="1:7">
      <c r="A2013" s="87"/>
      <c r="B2013" s="87"/>
      <c r="C2013" s="278" t="s">
        <v>34</v>
      </c>
      <c r="D2013" s="89" t="s">
        <v>34</v>
      </c>
      <c r="E2013" s="88"/>
      <c r="F2013" s="89" t="s">
        <v>34</v>
      </c>
      <c r="G2013" s="89" t="s">
        <v>34</v>
      </c>
    </row>
    <row r="2014" spans="1:7">
      <c r="A2014" s="87"/>
      <c r="B2014" s="87"/>
      <c r="C2014" s="278" t="s">
        <v>34</v>
      </c>
      <c r="D2014" s="89" t="s">
        <v>34</v>
      </c>
      <c r="E2014" s="88"/>
      <c r="F2014" s="89" t="s">
        <v>34</v>
      </c>
      <c r="G2014" s="89" t="s">
        <v>34</v>
      </c>
    </row>
    <row r="2015" spans="1:7">
      <c r="A2015" s="832" t="s">
        <v>1908</v>
      </c>
      <c r="B2015" s="833" t="s">
        <v>1908</v>
      </c>
      <c r="C2015" s="833"/>
      <c r="D2015" s="833"/>
      <c r="E2015" s="833"/>
      <c r="F2015" s="834"/>
      <c r="G2015" s="90" t="s">
        <v>34</v>
      </c>
    </row>
    <row r="2016" spans="1:7" ht="13.5" thickBot="1">
      <c r="A2016" s="91"/>
      <c r="B2016" s="92"/>
      <c r="C2016" s="163"/>
      <c r="D2016" s="99"/>
      <c r="E2016" s="100"/>
      <c r="F2016" s="101"/>
      <c r="G2016" s="102"/>
    </row>
    <row r="2017" spans="1:11" ht="13.5" thickBot="1">
      <c r="A2017" s="838" t="s">
        <v>1259</v>
      </c>
      <c r="B2017" s="839"/>
      <c r="C2017" s="839"/>
      <c r="D2017" s="839"/>
      <c r="E2017" s="839"/>
      <c r="F2017" s="840"/>
      <c r="G2017" s="103">
        <f>G2009+G2003</f>
        <v>57.609005999999994</v>
      </c>
    </row>
    <row r="2020" spans="1:11">
      <c r="A2020" s="237" t="s">
        <v>131</v>
      </c>
      <c r="B2020" s="190" t="s">
        <v>27</v>
      </c>
      <c r="C2020" s="841" t="s">
        <v>1281</v>
      </c>
      <c r="D2020" s="841"/>
      <c r="E2020" s="841"/>
      <c r="F2020" s="841"/>
      <c r="G2020" s="81" t="s">
        <v>127</v>
      </c>
      <c r="I2020" s="480" t="s">
        <v>1901</v>
      </c>
      <c r="J2020" s="80"/>
      <c r="K2020" s="80"/>
    </row>
    <row r="2021" spans="1:11" ht="50.1" customHeight="1">
      <c r="A2021" s="179" t="s">
        <v>579</v>
      </c>
      <c r="B2021" s="82"/>
      <c r="C2021" s="830" t="s">
        <v>580</v>
      </c>
      <c r="D2021" s="831"/>
      <c r="E2021" s="831"/>
      <c r="F2021" s="186">
        <f>G2040</f>
        <v>41.913144000000003</v>
      </c>
      <c r="G2021" s="83" t="s">
        <v>167</v>
      </c>
      <c r="I2021" s="481"/>
      <c r="J2021" s="272"/>
      <c r="K2021" s="272"/>
    </row>
    <row r="2022" spans="1:11">
      <c r="A2022" s="818" t="s">
        <v>1902</v>
      </c>
      <c r="B2022" s="819"/>
      <c r="C2022" s="819"/>
      <c r="D2022" s="819"/>
      <c r="E2022" s="819"/>
      <c r="F2022" s="819"/>
      <c r="G2022" s="820"/>
    </row>
    <row r="2023" spans="1:11">
      <c r="A2023" s="84" t="s">
        <v>1903</v>
      </c>
      <c r="B2023" s="84" t="s">
        <v>131</v>
      </c>
      <c r="C2023" s="160" t="s">
        <v>1904</v>
      </c>
      <c r="D2023" s="84" t="s">
        <v>167</v>
      </c>
      <c r="E2023" s="85" t="s">
        <v>1905</v>
      </c>
      <c r="F2023" s="86" t="s">
        <v>1906</v>
      </c>
      <c r="G2023" s="86" t="s">
        <v>1907</v>
      </c>
    </row>
    <row r="2024" spans="1:11" ht="24">
      <c r="A2024" s="87" t="s">
        <v>1917</v>
      </c>
      <c r="B2024" s="87" t="s">
        <v>2044</v>
      </c>
      <c r="C2024" s="278" t="s">
        <v>580</v>
      </c>
      <c r="D2024" s="89" t="s">
        <v>167</v>
      </c>
      <c r="E2024" s="88">
        <v>1</v>
      </c>
      <c r="F2024" s="89">
        <f>'Mapa Cotações'!M82</f>
        <v>21.042840000000002</v>
      </c>
      <c r="G2024" s="89">
        <f>F2024*E2024</f>
        <v>21.042840000000002</v>
      </c>
    </row>
    <row r="2025" spans="1:11">
      <c r="A2025" s="87"/>
      <c r="B2025" s="87"/>
      <c r="C2025" s="278" t="s">
        <v>34</v>
      </c>
      <c r="D2025" s="89" t="s">
        <v>34</v>
      </c>
      <c r="E2025" s="88"/>
      <c r="F2025" s="89" t="s">
        <v>34</v>
      </c>
      <c r="G2025" s="89" t="s">
        <v>34</v>
      </c>
    </row>
    <row r="2026" spans="1:11">
      <c r="A2026" s="832" t="s">
        <v>1908</v>
      </c>
      <c r="B2026" s="833"/>
      <c r="C2026" s="833"/>
      <c r="D2026" s="833"/>
      <c r="E2026" s="833"/>
      <c r="F2026" s="834"/>
      <c r="G2026" s="90">
        <f>SUM(G2024:G2025)</f>
        <v>21.042840000000002</v>
      </c>
    </row>
    <row r="2027" spans="1:11">
      <c r="A2027" s="91"/>
      <c r="B2027" s="92"/>
      <c r="C2027" s="161"/>
      <c r="D2027" s="93"/>
      <c r="E2027" s="94"/>
      <c r="F2027" s="95"/>
      <c r="G2027" s="96"/>
    </row>
    <row r="2028" spans="1:11">
      <c r="A2028" s="835" t="s">
        <v>1909</v>
      </c>
      <c r="B2028" s="836"/>
      <c r="C2028" s="836"/>
      <c r="D2028" s="836"/>
      <c r="E2028" s="836"/>
      <c r="F2028" s="836"/>
      <c r="G2028" s="837"/>
    </row>
    <row r="2029" spans="1:11">
      <c r="A2029" s="84" t="s">
        <v>1903</v>
      </c>
      <c r="B2029" s="84" t="s">
        <v>131</v>
      </c>
      <c r="C2029" s="160" t="s">
        <v>1904</v>
      </c>
      <c r="D2029" s="84" t="s">
        <v>167</v>
      </c>
      <c r="E2029" s="85" t="s">
        <v>1905</v>
      </c>
      <c r="F2029" s="86" t="s">
        <v>1906</v>
      </c>
      <c r="G2029" s="86" t="s">
        <v>1907</v>
      </c>
    </row>
    <row r="2030" spans="1:11" ht="24">
      <c r="A2030" s="87" t="s">
        <v>2</v>
      </c>
      <c r="B2030" s="87">
        <v>88248</v>
      </c>
      <c r="C2030" s="278" t="s">
        <v>1947</v>
      </c>
      <c r="D2030" s="89" t="s">
        <v>137</v>
      </c>
      <c r="E2030" s="88">
        <v>0.43680000000000002</v>
      </c>
      <c r="F2030" s="89">
        <v>21.45</v>
      </c>
      <c r="G2030" s="89">
        <v>9.3693600000000004</v>
      </c>
    </row>
    <row r="2031" spans="1:11" ht="24">
      <c r="A2031" s="87" t="s">
        <v>2</v>
      </c>
      <c r="B2031" s="87">
        <v>88267</v>
      </c>
      <c r="C2031" s="278" t="s">
        <v>1949</v>
      </c>
      <c r="D2031" s="89" t="s">
        <v>137</v>
      </c>
      <c r="E2031" s="88">
        <v>0.43680000000000002</v>
      </c>
      <c r="F2031" s="89">
        <v>26.33</v>
      </c>
      <c r="G2031" s="89">
        <v>11.500944</v>
      </c>
    </row>
    <row r="2032" spans="1:11">
      <c r="A2032" s="832" t="s">
        <v>1908</v>
      </c>
      <c r="B2032" s="833"/>
      <c r="C2032" s="833"/>
      <c r="D2032" s="833"/>
      <c r="E2032" s="833"/>
      <c r="F2032" s="834"/>
      <c r="G2032" s="90">
        <v>20.870304000000001</v>
      </c>
    </row>
    <row r="2033" spans="1:11">
      <c r="A2033" s="91"/>
      <c r="B2033" s="92"/>
      <c r="C2033" s="162"/>
      <c r="D2033" s="92"/>
      <c r="E2033" s="97"/>
      <c r="F2033" s="98"/>
      <c r="G2033" s="96"/>
    </row>
    <row r="2034" spans="1:11">
      <c r="A2034" s="835" t="s">
        <v>1912</v>
      </c>
      <c r="B2034" s="836"/>
      <c r="C2034" s="836"/>
      <c r="D2034" s="836"/>
      <c r="E2034" s="836"/>
      <c r="F2034" s="836"/>
      <c r="G2034" s="837"/>
    </row>
    <row r="2035" spans="1:11">
      <c r="A2035" s="84" t="s">
        <v>1903</v>
      </c>
      <c r="B2035" s="84" t="s">
        <v>131</v>
      </c>
      <c r="C2035" s="160" t="s">
        <v>1904</v>
      </c>
      <c r="D2035" s="84" t="s">
        <v>167</v>
      </c>
      <c r="E2035" s="85" t="s">
        <v>1905</v>
      </c>
      <c r="F2035" s="86" t="s">
        <v>1906</v>
      </c>
      <c r="G2035" s="86" t="s">
        <v>1907</v>
      </c>
    </row>
    <row r="2036" spans="1:11">
      <c r="A2036" s="87"/>
      <c r="B2036" s="87"/>
      <c r="C2036" s="278" t="s">
        <v>34</v>
      </c>
      <c r="D2036" s="89" t="s">
        <v>34</v>
      </c>
      <c r="E2036" s="88"/>
      <c r="F2036" s="89" t="s">
        <v>34</v>
      </c>
      <c r="G2036" s="89" t="s">
        <v>34</v>
      </c>
    </row>
    <row r="2037" spans="1:11">
      <c r="A2037" s="87"/>
      <c r="B2037" s="87"/>
      <c r="C2037" s="278" t="s">
        <v>34</v>
      </c>
      <c r="D2037" s="89" t="s">
        <v>34</v>
      </c>
      <c r="E2037" s="88"/>
      <c r="F2037" s="89" t="s">
        <v>34</v>
      </c>
      <c r="G2037" s="89" t="s">
        <v>34</v>
      </c>
    </row>
    <row r="2038" spans="1:11">
      <c r="A2038" s="832" t="s">
        <v>1908</v>
      </c>
      <c r="B2038" s="833" t="s">
        <v>1908</v>
      </c>
      <c r="C2038" s="833"/>
      <c r="D2038" s="833"/>
      <c r="E2038" s="833"/>
      <c r="F2038" s="834"/>
      <c r="G2038" s="90" t="s">
        <v>34</v>
      </c>
    </row>
    <row r="2039" spans="1:11" ht="13.5" thickBot="1">
      <c r="A2039" s="91"/>
      <c r="B2039" s="92"/>
      <c r="C2039" s="163"/>
      <c r="D2039" s="99"/>
      <c r="E2039" s="100"/>
      <c r="F2039" s="101"/>
      <c r="G2039" s="102"/>
    </row>
    <row r="2040" spans="1:11" ht="13.5" thickBot="1">
      <c r="A2040" s="838" t="s">
        <v>1259</v>
      </c>
      <c r="B2040" s="839"/>
      <c r="C2040" s="839"/>
      <c r="D2040" s="839"/>
      <c r="E2040" s="839"/>
      <c r="F2040" s="840"/>
      <c r="G2040" s="103">
        <f>G2032+G2026</f>
        <v>41.913144000000003</v>
      </c>
    </row>
    <row r="2043" spans="1:11">
      <c r="A2043" s="237" t="s">
        <v>131</v>
      </c>
      <c r="B2043" s="190" t="s">
        <v>27</v>
      </c>
      <c r="C2043" s="841" t="s">
        <v>1281</v>
      </c>
      <c r="D2043" s="841"/>
      <c r="E2043" s="841"/>
      <c r="F2043" s="841"/>
      <c r="G2043" s="81" t="s">
        <v>127</v>
      </c>
      <c r="I2043" s="480" t="s">
        <v>1901</v>
      </c>
      <c r="J2043" s="80"/>
      <c r="K2043" s="80"/>
    </row>
    <row r="2044" spans="1:11" ht="50.1" customHeight="1">
      <c r="A2044" s="179" t="s">
        <v>603</v>
      </c>
      <c r="B2044" s="82"/>
      <c r="C2044" s="830" t="s">
        <v>604</v>
      </c>
      <c r="D2044" s="831"/>
      <c r="E2044" s="831"/>
      <c r="F2044" s="186">
        <f>G2063</f>
        <v>138.13576</v>
      </c>
      <c r="G2044" s="83" t="s">
        <v>167</v>
      </c>
      <c r="I2044" s="481"/>
      <c r="J2044" s="272"/>
      <c r="K2044" s="272"/>
    </row>
    <row r="2045" spans="1:11">
      <c r="A2045" s="818" t="s">
        <v>1902</v>
      </c>
      <c r="B2045" s="819"/>
      <c r="C2045" s="819"/>
      <c r="D2045" s="819"/>
      <c r="E2045" s="819"/>
      <c r="F2045" s="819"/>
      <c r="G2045" s="820"/>
    </row>
    <row r="2046" spans="1:11">
      <c r="A2046" s="84" t="s">
        <v>1903</v>
      </c>
      <c r="B2046" s="84" t="s">
        <v>131</v>
      </c>
      <c r="C2046" s="160" t="s">
        <v>1904</v>
      </c>
      <c r="D2046" s="84" t="s">
        <v>167</v>
      </c>
      <c r="E2046" s="85" t="s">
        <v>1905</v>
      </c>
      <c r="F2046" s="86" t="s">
        <v>1906</v>
      </c>
      <c r="G2046" s="86" t="s">
        <v>1907</v>
      </c>
    </row>
    <row r="2047" spans="1:11" ht="36">
      <c r="A2047" s="87" t="s">
        <v>1917</v>
      </c>
      <c r="B2047" s="87" t="s">
        <v>2045</v>
      </c>
      <c r="C2047" s="278" t="s">
        <v>604</v>
      </c>
      <c r="D2047" s="89" t="s">
        <v>167</v>
      </c>
      <c r="E2047" s="88">
        <v>1</v>
      </c>
      <c r="F2047" s="89">
        <f>'Mapa Cotações'!M83</f>
        <v>85.96</v>
      </c>
      <c r="G2047" s="89">
        <f>F2047*E2047</f>
        <v>85.96</v>
      </c>
    </row>
    <row r="2048" spans="1:11">
      <c r="A2048" s="87"/>
      <c r="B2048" s="87"/>
      <c r="C2048" s="278" t="s">
        <v>34</v>
      </c>
      <c r="D2048" s="89" t="s">
        <v>34</v>
      </c>
      <c r="E2048" s="88"/>
      <c r="F2048" s="89" t="s">
        <v>34</v>
      </c>
      <c r="G2048" s="89" t="s">
        <v>34</v>
      </c>
    </row>
    <row r="2049" spans="1:7">
      <c r="A2049" s="832" t="s">
        <v>1908</v>
      </c>
      <c r="B2049" s="833"/>
      <c r="C2049" s="833"/>
      <c r="D2049" s="833"/>
      <c r="E2049" s="833"/>
      <c r="F2049" s="834"/>
      <c r="G2049" s="90">
        <f>SUM(G2047:G2048)</f>
        <v>85.96</v>
      </c>
    </row>
    <row r="2050" spans="1:7">
      <c r="A2050" s="91"/>
      <c r="B2050" s="92"/>
      <c r="C2050" s="161"/>
      <c r="D2050" s="93"/>
      <c r="E2050" s="94"/>
      <c r="F2050" s="95"/>
      <c r="G2050" s="96"/>
    </row>
    <row r="2051" spans="1:7">
      <c r="A2051" s="835" t="s">
        <v>1909</v>
      </c>
      <c r="B2051" s="836"/>
      <c r="C2051" s="836"/>
      <c r="D2051" s="836"/>
      <c r="E2051" s="836"/>
      <c r="F2051" s="836"/>
      <c r="G2051" s="837"/>
    </row>
    <row r="2052" spans="1:7">
      <c r="A2052" s="84" t="s">
        <v>1903</v>
      </c>
      <c r="B2052" s="84" t="s">
        <v>131</v>
      </c>
      <c r="C2052" s="160" t="s">
        <v>1904</v>
      </c>
      <c r="D2052" s="84" t="s">
        <v>167</v>
      </c>
      <c r="E2052" s="85" t="s">
        <v>1905</v>
      </c>
      <c r="F2052" s="86" t="s">
        <v>1906</v>
      </c>
      <c r="G2052" s="86" t="s">
        <v>1907</v>
      </c>
    </row>
    <row r="2053" spans="1:7" ht="24">
      <c r="A2053" s="87" t="s">
        <v>2</v>
      </c>
      <c r="B2053" s="87">
        <v>88248</v>
      </c>
      <c r="C2053" s="278" t="s">
        <v>1947</v>
      </c>
      <c r="D2053" s="89" t="s">
        <v>137</v>
      </c>
      <c r="E2053" s="88">
        <v>1.0920000000000001</v>
      </c>
      <c r="F2053" s="89">
        <v>21.45</v>
      </c>
      <c r="G2053" s="89">
        <v>23.423400000000001</v>
      </c>
    </row>
    <row r="2054" spans="1:7" ht="24">
      <c r="A2054" s="87" t="s">
        <v>2</v>
      </c>
      <c r="B2054" s="87">
        <v>88267</v>
      </c>
      <c r="C2054" s="278" t="s">
        <v>1949</v>
      </c>
      <c r="D2054" s="89" t="s">
        <v>137</v>
      </c>
      <c r="E2054" s="88">
        <v>1.0920000000000001</v>
      </c>
      <c r="F2054" s="89">
        <v>26.33</v>
      </c>
      <c r="G2054" s="89">
        <v>28.752359999999999</v>
      </c>
    </row>
    <row r="2055" spans="1:7">
      <c r="A2055" s="832" t="s">
        <v>1908</v>
      </c>
      <c r="B2055" s="833"/>
      <c r="C2055" s="833"/>
      <c r="D2055" s="833"/>
      <c r="E2055" s="833"/>
      <c r="F2055" s="834"/>
      <c r="G2055" s="90">
        <v>52.175759999999997</v>
      </c>
    </row>
    <row r="2056" spans="1:7">
      <c r="A2056" s="91"/>
      <c r="B2056" s="92"/>
      <c r="C2056" s="162"/>
      <c r="D2056" s="92"/>
      <c r="E2056" s="97"/>
      <c r="F2056" s="98"/>
      <c r="G2056" s="96"/>
    </row>
    <row r="2057" spans="1:7">
      <c r="A2057" s="835" t="s">
        <v>1912</v>
      </c>
      <c r="B2057" s="836"/>
      <c r="C2057" s="836"/>
      <c r="D2057" s="836"/>
      <c r="E2057" s="836"/>
      <c r="F2057" s="836"/>
      <c r="G2057" s="837"/>
    </row>
    <row r="2058" spans="1:7">
      <c r="A2058" s="84" t="s">
        <v>1903</v>
      </c>
      <c r="B2058" s="84" t="s">
        <v>131</v>
      </c>
      <c r="C2058" s="160" t="s">
        <v>1904</v>
      </c>
      <c r="D2058" s="84" t="s">
        <v>167</v>
      </c>
      <c r="E2058" s="85" t="s">
        <v>1905</v>
      </c>
      <c r="F2058" s="86" t="s">
        <v>1906</v>
      </c>
      <c r="G2058" s="86" t="s">
        <v>1907</v>
      </c>
    </row>
    <row r="2059" spans="1:7">
      <c r="A2059" s="87"/>
      <c r="B2059" s="87"/>
      <c r="C2059" s="278" t="s">
        <v>34</v>
      </c>
      <c r="D2059" s="89" t="s">
        <v>34</v>
      </c>
      <c r="E2059" s="88"/>
      <c r="F2059" s="89" t="s">
        <v>34</v>
      </c>
      <c r="G2059" s="89" t="s">
        <v>34</v>
      </c>
    </row>
    <row r="2060" spans="1:7">
      <c r="A2060" s="87"/>
      <c r="B2060" s="87"/>
      <c r="C2060" s="278" t="s">
        <v>34</v>
      </c>
      <c r="D2060" s="89" t="s">
        <v>34</v>
      </c>
      <c r="E2060" s="88"/>
      <c r="F2060" s="89" t="s">
        <v>34</v>
      </c>
      <c r="G2060" s="89" t="s">
        <v>34</v>
      </c>
    </row>
    <row r="2061" spans="1:7">
      <c r="A2061" s="832" t="s">
        <v>1908</v>
      </c>
      <c r="B2061" s="833" t="s">
        <v>1908</v>
      </c>
      <c r="C2061" s="833"/>
      <c r="D2061" s="833"/>
      <c r="E2061" s="833"/>
      <c r="F2061" s="834"/>
      <c r="G2061" s="90" t="s">
        <v>34</v>
      </c>
    </row>
    <row r="2062" spans="1:7" ht="13.5" thickBot="1">
      <c r="A2062" s="91"/>
      <c r="B2062" s="92"/>
      <c r="C2062" s="163"/>
      <c r="D2062" s="99"/>
      <c r="E2062" s="100"/>
      <c r="F2062" s="101"/>
      <c r="G2062" s="102"/>
    </row>
    <row r="2063" spans="1:7" ht="13.5" thickBot="1">
      <c r="A2063" s="838" t="s">
        <v>1259</v>
      </c>
      <c r="B2063" s="839"/>
      <c r="C2063" s="839"/>
      <c r="D2063" s="839"/>
      <c r="E2063" s="839"/>
      <c r="F2063" s="840"/>
      <c r="G2063" s="103">
        <f>G2055+G2049</f>
        <v>138.13576</v>
      </c>
    </row>
    <row r="2066" spans="1:11">
      <c r="A2066" s="237" t="s">
        <v>131</v>
      </c>
      <c r="B2066" s="190" t="s">
        <v>27</v>
      </c>
      <c r="C2066" s="841" t="s">
        <v>1281</v>
      </c>
      <c r="D2066" s="841"/>
      <c r="E2066" s="841"/>
      <c r="F2066" s="841"/>
      <c r="G2066" s="81" t="s">
        <v>127</v>
      </c>
      <c r="I2066" s="480" t="s">
        <v>1901</v>
      </c>
      <c r="J2066" s="80"/>
      <c r="K2066" s="80"/>
    </row>
    <row r="2067" spans="1:11" ht="50.1" customHeight="1">
      <c r="A2067" s="179" t="s">
        <v>606</v>
      </c>
      <c r="B2067" s="82"/>
      <c r="C2067" s="830" t="s">
        <v>607</v>
      </c>
      <c r="D2067" s="831"/>
      <c r="E2067" s="831"/>
      <c r="F2067" s="186">
        <f>G2086</f>
        <v>103.450608</v>
      </c>
      <c r="G2067" s="83" t="s">
        <v>167</v>
      </c>
      <c r="I2067" s="481"/>
      <c r="J2067" s="272"/>
      <c r="K2067" s="272"/>
    </row>
    <row r="2068" spans="1:11">
      <c r="A2068" s="818" t="s">
        <v>1902</v>
      </c>
      <c r="B2068" s="819"/>
      <c r="C2068" s="819"/>
      <c r="D2068" s="819"/>
      <c r="E2068" s="819"/>
      <c r="F2068" s="819"/>
      <c r="G2068" s="820"/>
    </row>
    <row r="2069" spans="1:11">
      <c r="A2069" s="84" t="s">
        <v>1903</v>
      </c>
      <c r="B2069" s="84" t="s">
        <v>131</v>
      </c>
      <c r="C2069" s="160" t="s">
        <v>1904</v>
      </c>
      <c r="D2069" s="84" t="s">
        <v>167</v>
      </c>
      <c r="E2069" s="85" t="s">
        <v>1905</v>
      </c>
      <c r="F2069" s="86" t="s">
        <v>1906</v>
      </c>
      <c r="G2069" s="86" t="s">
        <v>1907</v>
      </c>
    </row>
    <row r="2070" spans="1:11" ht="36">
      <c r="A2070" s="87" t="s">
        <v>1917</v>
      </c>
      <c r="B2070" s="87" t="s">
        <v>2046</v>
      </c>
      <c r="C2070" s="278" t="s">
        <v>607</v>
      </c>
      <c r="D2070" s="89" t="s">
        <v>167</v>
      </c>
      <c r="E2070" s="88">
        <v>1</v>
      </c>
      <c r="F2070" s="89">
        <f>'Mapa Cotações'!M84</f>
        <v>61.71</v>
      </c>
      <c r="G2070" s="89">
        <f>F2070*E2070</f>
        <v>61.71</v>
      </c>
    </row>
    <row r="2071" spans="1:11">
      <c r="A2071" s="87"/>
      <c r="B2071" s="87"/>
      <c r="C2071" s="278" t="s">
        <v>34</v>
      </c>
      <c r="D2071" s="89" t="s">
        <v>34</v>
      </c>
      <c r="E2071" s="88"/>
      <c r="F2071" s="89" t="s">
        <v>34</v>
      </c>
      <c r="G2071" s="89" t="s">
        <v>34</v>
      </c>
    </row>
    <row r="2072" spans="1:11">
      <c r="A2072" s="832" t="s">
        <v>1908</v>
      </c>
      <c r="B2072" s="833"/>
      <c r="C2072" s="833"/>
      <c r="D2072" s="833"/>
      <c r="E2072" s="833"/>
      <c r="F2072" s="834"/>
      <c r="G2072" s="90">
        <f>SUM(G2070:G2071)</f>
        <v>61.71</v>
      </c>
    </row>
    <row r="2073" spans="1:11">
      <c r="A2073" s="91"/>
      <c r="B2073" s="92"/>
      <c r="C2073" s="161"/>
      <c r="D2073" s="93"/>
      <c r="E2073" s="94"/>
      <c r="F2073" s="95"/>
      <c r="G2073" s="96"/>
    </row>
    <row r="2074" spans="1:11">
      <c r="A2074" s="835" t="s">
        <v>1909</v>
      </c>
      <c r="B2074" s="836"/>
      <c r="C2074" s="836"/>
      <c r="D2074" s="836"/>
      <c r="E2074" s="836"/>
      <c r="F2074" s="836"/>
      <c r="G2074" s="837"/>
    </row>
    <row r="2075" spans="1:11">
      <c r="A2075" s="84" t="s">
        <v>1903</v>
      </c>
      <c r="B2075" s="84" t="s">
        <v>131</v>
      </c>
      <c r="C2075" s="160" t="s">
        <v>1904</v>
      </c>
      <c r="D2075" s="84" t="s">
        <v>167</v>
      </c>
      <c r="E2075" s="85" t="s">
        <v>1905</v>
      </c>
      <c r="F2075" s="86" t="s">
        <v>1906</v>
      </c>
      <c r="G2075" s="86" t="s">
        <v>1907</v>
      </c>
    </row>
    <row r="2076" spans="1:11" ht="24">
      <c r="A2076" s="87" t="s">
        <v>2</v>
      </c>
      <c r="B2076" s="87">
        <v>88248</v>
      </c>
      <c r="C2076" s="278" t="s">
        <v>1947</v>
      </c>
      <c r="D2076" s="89" t="s">
        <v>137</v>
      </c>
      <c r="E2076" s="88">
        <v>0.87360000000000004</v>
      </c>
      <c r="F2076" s="89">
        <v>21.45</v>
      </c>
      <c r="G2076" s="89">
        <v>18.738720000000001</v>
      </c>
    </row>
    <row r="2077" spans="1:11" ht="24">
      <c r="A2077" s="87" t="s">
        <v>2</v>
      </c>
      <c r="B2077" s="87">
        <v>88267</v>
      </c>
      <c r="C2077" s="278" t="s">
        <v>1949</v>
      </c>
      <c r="D2077" s="89" t="s">
        <v>137</v>
      </c>
      <c r="E2077" s="88">
        <v>0.87360000000000004</v>
      </c>
      <c r="F2077" s="89">
        <v>26.33</v>
      </c>
      <c r="G2077" s="89">
        <v>23.001888000000001</v>
      </c>
    </row>
    <row r="2078" spans="1:11">
      <c r="A2078" s="832" t="s">
        <v>1908</v>
      </c>
      <c r="B2078" s="833"/>
      <c r="C2078" s="833"/>
      <c r="D2078" s="833"/>
      <c r="E2078" s="833"/>
      <c r="F2078" s="834"/>
      <c r="G2078" s="90">
        <v>41.740608000000002</v>
      </c>
    </row>
    <row r="2079" spans="1:11">
      <c r="A2079" s="91"/>
      <c r="B2079" s="92"/>
      <c r="C2079" s="162"/>
      <c r="D2079" s="92"/>
      <c r="E2079" s="97"/>
      <c r="F2079" s="98"/>
      <c r="G2079" s="96"/>
    </row>
    <row r="2080" spans="1:11">
      <c r="A2080" s="835" t="s">
        <v>1912</v>
      </c>
      <c r="B2080" s="836"/>
      <c r="C2080" s="836"/>
      <c r="D2080" s="836"/>
      <c r="E2080" s="836"/>
      <c r="F2080" s="836"/>
      <c r="G2080" s="837"/>
    </row>
    <row r="2081" spans="1:11">
      <c r="A2081" s="84" t="s">
        <v>1903</v>
      </c>
      <c r="B2081" s="84" t="s">
        <v>131</v>
      </c>
      <c r="C2081" s="160" t="s">
        <v>1904</v>
      </c>
      <c r="D2081" s="84" t="s">
        <v>167</v>
      </c>
      <c r="E2081" s="85" t="s">
        <v>1905</v>
      </c>
      <c r="F2081" s="86" t="s">
        <v>1906</v>
      </c>
      <c r="G2081" s="86" t="s">
        <v>1907</v>
      </c>
    </row>
    <row r="2082" spans="1:11">
      <c r="A2082" s="87"/>
      <c r="B2082" s="87"/>
      <c r="C2082" s="278" t="s">
        <v>34</v>
      </c>
      <c r="D2082" s="89" t="s">
        <v>34</v>
      </c>
      <c r="E2082" s="88"/>
      <c r="F2082" s="89" t="s">
        <v>34</v>
      </c>
      <c r="G2082" s="89" t="s">
        <v>34</v>
      </c>
    </row>
    <row r="2083" spans="1:11">
      <c r="A2083" s="87"/>
      <c r="B2083" s="87"/>
      <c r="C2083" s="278" t="s">
        <v>34</v>
      </c>
      <c r="D2083" s="89" t="s">
        <v>34</v>
      </c>
      <c r="E2083" s="88"/>
      <c r="F2083" s="89" t="s">
        <v>34</v>
      </c>
      <c r="G2083" s="89" t="s">
        <v>34</v>
      </c>
    </row>
    <row r="2084" spans="1:11">
      <c r="A2084" s="832" t="s">
        <v>1908</v>
      </c>
      <c r="B2084" s="833" t="s">
        <v>1908</v>
      </c>
      <c r="C2084" s="833"/>
      <c r="D2084" s="833"/>
      <c r="E2084" s="833"/>
      <c r="F2084" s="834"/>
      <c r="G2084" s="90" t="s">
        <v>34</v>
      </c>
    </row>
    <row r="2085" spans="1:11" ht="13.5" thickBot="1">
      <c r="A2085" s="91"/>
      <c r="B2085" s="92"/>
      <c r="C2085" s="163"/>
      <c r="D2085" s="99"/>
      <c r="E2085" s="100"/>
      <c r="F2085" s="101"/>
      <c r="G2085" s="102"/>
    </row>
    <row r="2086" spans="1:11" ht="13.5" thickBot="1">
      <c r="A2086" s="838" t="s">
        <v>1259</v>
      </c>
      <c r="B2086" s="839"/>
      <c r="C2086" s="839"/>
      <c r="D2086" s="839"/>
      <c r="E2086" s="839"/>
      <c r="F2086" s="840"/>
      <c r="G2086" s="103">
        <f>G2078+G2072</f>
        <v>103.450608</v>
      </c>
    </row>
    <row r="2089" spans="1:11">
      <c r="A2089" s="237" t="s">
        <v>131</v>
      </c>
      <c r="B2089" s="190" t="s">
        <v>27</v>
      </c>
      <c r="C2089" s="841" t="s">
        <v>1281</v>
      </c>
      <c r="D2089" s="841"/>
      <c r="E2089" s="841"/>
      <c r="F2089" s="841"/>
      <c r="G2089" s="81" t="s">
        <v>127</v>
      </c>
      <c r="I2089" s="480" t="s">
        <v>1901</v>
      </c>
      <c r="J2089" s="80"/>
      <c r="K2089" s="80"/>
    </row>
    <row r="2090" spans="1:11" ht="50.1" customHeight="1">
      <c r="A2090" s="179" t="s">
        <v>582</v>
      </c>
      <c r="B2090" s="82"/>
      <c r="C2090" s="830" t="s">
        <v>583</v>
      </c>
      <c r="D2090" s="831"/>
      <c r="E2090" s="831"/>
      <c r="F2090" s="186">
        <f>G2109</f>
        <v>17.697179999999999</v>
      </c>
      <c r="G2090" s="83" t="s">
        <v>167</v>
      </c>
      <c r="I2090" s="481"/>
      <c r="J2090" s="272"/>
      <c r="K2090" s="272"/>
    </row>
    <row r="2091" spans="1:11">
      <c r="A2091" s="818" t="s">
        <v>1902</v>
      </c>
      <c r="B2091" s="819"/>
      <c r="C2091" s="819"/>
      <c r="D2091" s="819"/>
      <c r="E2091" s="819"/>
      <c r="F2091" s="819"/>
      <c r="G2091" s="820"/>
    </row>
    <row r="2092" spans="1:11">
      <c r="A2092" s="84" t="s">
        <v>1903</v>
      </c>
      <c r="B2092" s="84" t="s">
        <v>131</v>
      </c>
      <c r="C2092" s="160" t="s">
        <v>1904</v>
      </c>
      <c r="D2092" s="84" t="s">
        <v>167</v>
      </c>
      <c r="E2092" s="85" t="s">
        <v>1905</v>
      </c>
      <c r="F2092" s="86" t="s">
        <v>1906</v>
      </c>
      <c r="G2092" s="86" t="s">
        <v>1907</v>
      </c>
    </row>
    <row r="2093" spans="1:11" ht="36">
      <c r="A2093" s="87" t="s">
        <v>1917</v>
      </c>
      <c r="B2093" s="87" t="s">
        <v>2007</v>
      </c>
      <c r="C2093" s="278" t="str">
        <f>'Mapa Cotações'!B85</f>
        <v>PARAFUSO (TIRANTE) ESTOJO E PORCA SEXTAVADO ROSCA UNC, PARA FLANGE PADRÃO ANSI 16.5, Ø = 10". DIÂMETRO = 7/8" X 1m</v>
      </c>
      <c r="D2093" s="89" t="s">
        <v>180</v>
      </c>
      <c r="E2093" s="88">
        <v>0.125</v>
      </c>
      <c r="F2093" s="89">
        <f>'Mapa Cotações'!M85</f>
        <v>104.1</v>
      </c>
      <c r="G2093" s="89">
        <f>F2093*E2093</f>
        <v>13.012499999999999</v>
      </c>
    </row>
    <row r="2094" spans="1:11">
      <c r="A2094" s="87"/>
      <c r="B2094" s="87"/>
      <c r="C2094" s="278" t="s">
        <v>34</v>
      </c>
      <c r="D2094" s="89" t="s">
        <v>34</v>
      </c>
      <c r="E2094" s="88"/>
      <c r="F2094" s="89" t="s">
        <v>34</v>
      </c>
      <c r="G2094" s="89" t="s">
        <v>34</v>
      </c>
    </row>
    <row r="2095" spans="1:11">
      <c r="A2095" s="832" t="s">
        <v>1908</v>
      </c>
      <c r="B2095" s="833"/>
      <c r="C2095" s="833"/>
      <c r="D2095" s="833"/>
      <c r="E2095" s="833"/>
      <c r="F2095" s="834"/>
      <c r="G2095" s="90">
        <f>SUM(G2093:G2094)</f>
        <v>13.012499999999999</v>
      </c>
    </row>
    <row r="2096" spans="1:11">
      <c r="A2096" s="91"/>
      <c r="B2096" s="92"/>
      <c r="C2096" s="161"/>
      <c r="D2096" s="93"/>
      <c r="E2096" s="94"/>
      <c r="F2096" s="95"/>
      <c r="G2096" s="96"/>
    </row>
    <row r="2097" spans="1:11">
      <c r="A2097" s="835" t="s">
        <v>1909</v>
      </c>
      <c r="B2097" s="836"/>
      <c r="C2097" s="836"/>
      <c r="D2097" s="836"/>
      <c r="E2097" s="836"/>
      <c r="F2097" s="836"/>
      <c r="G2097" s="837"/>
    </row>
    <row r="2098" spans="1:11">
      <c r="A2098" s="84" t="s">
        <v>1903</v>
      </c>
      <c r="B2098" s="84" t="s">
        <v>131</v>
      </c>
      <c r="C2098" s="160" t="s">
        <v>1904</v>
      </c>
      <c r="D2098" s="84" t="s">
        <v>167</v>
      </c>
      <c r="E2098" s="85" t="s">
        <v>1905</v>
      </c>
      <c r="F2098" s="86" t="s">
        <v>1906</v>
      </c>
      <c r="G2098" s="86" t="s">
        <v>1907</v>
      </c>
    </row>
    <row r="2099" spans="1:11" ht="24">
      <c r="A2099" s="87" t="s">
        <v>2</v>
      </c>
      <c r="B2099" s="87">
        <v>88248</v>
      </c>
      <c r="C2099" s="278" t="s">
        <v>1947</v>
      </c>
      <c r="D2099" s="89" t="s">
        <v>137</v>
      </c>
      <c r="E2099" s="88">
        <v>0.21840000000000001</v>
      </c>
      <c r="F2099" s="89">
        <v>21.45</v>
      </c>
      <c r="G2099" s="89">
        <v>4.6846800000000002</v>
      </c>
    </row>
    <row r="2100" spans="1:11">
      <c r="A2100" s="87"/>
      <c r="B2100" s="87"/>
      <c r="C2100" s="278" t="s">
        <v>34</v>
      </c>
      <c r="D2100" s="89" t="s">
        <v>34</v>
      </c>
      <c r="E2100" s="88"/>
      <c r="F2100" s="89" t="s">
        <v>34</v>
      </c>
      <c r="G2100" s="89" t="s">
        <v>34</v>
      </c>
    </row>
    <row r="2101" spans="1:11">
      <c r="A2101" s="832" t="s">
        <v>1908</v>
      </c>
      <c r="B2101" s="833"/>
      <c r="C2101" s="833"/>
      <c r="D2101" s="833"/>
      <c r="E2101" s="833"/>
      <c r="F2101" s="834"/>
      <c r="G2101" s="90">
        <v>4.6846800000000002</v>
      </c>
    </row>
    <row r="2102" spans="1:11">
      <c r="A2102" s="91"/>
      <c r="B2102" s="92"/>
      <c r="C2102" s="162"/>
      <c r="D2102" s="92"/>
      <c r="E2102" s="97"/>
      <c r="F2102" s="98"/>
      <c r="G2102" s="96"/>
    </row>
    <row r="2103" spans="1:11">
      <c r="A2103" s="835" t="s">
        <v>1912</v>
      </c>
      <c r="B2103" s="836"/>
      <c r="C2103" s="836"/>
      <c r="D2103" s="836"/>
      <c r="E2103" s="836"/>
      <c r="F2103" s="836"/>
      <c r="G2103" s="837"/>
    </row>
    <row r="2104" spans="1:11">
      <c r="A2104" s="84" t="s">
        <v>1903</v>
      </c>
      <c r="B2104" s="84" t="s">
        <v>131</v>
      </c>
      <c r="C2104" s="160" t="s">
        <v>1904</v>
      </c>
      <c r="D2104" s="84" t="s">
        <v>167</v>
      </c>
      <c r="E2104" s="85" t="s">
        <v>1905</v>
      </c>
      <c r="F2104" s="86" t="s">
        <v>1906</v>
      </c>
      <c r="G2104" s="86" t="s">
        <v>1907</v>
      </c>
    </row>
    <row r="2105" spans="1:11">
      <c r="A2105" s="87"/>
      <c r="B2105" s="87"/>
      <c r="C2105" s="278" t="s">
        <v>34</v>
      </c>
      <c r="D2105" s="89" t="s">
        <v>34</v>
      </c>
      <c r="E2105" s="88"/>
      <c r="F2105" s="89" t="s">
        <v>34</v>
      </c>
      <c r="G2105" s="89" t="s">
        <v>34</v>
      </c>
    </row>
    <row r="2106" spans="1:11">
      <c r="A2106" s="87"/>
      <c r="B2106" s="87"/>
      <c r="C2106" s="278" t="s">
        <v>34</v>
      </c>
      <c r="D2106" s="89" t="s">
        <v>34</v>
      </c>
      <c r="E2106" s="88"/>
      <c r="F2106" s="89" t="s">
        <v>34</v>
      </c>
      <c r="G2106" s="89" t="s">
        <v>34</v>
      </c>
    </row>
    <row r="2107" spans="1:11">
      <c r="A2107" s="832" t="s">
        <v>1908</v>
      </c>
      <c r="B2107" s="833" t="s">
        <v>1908</v>
      </c>
      <c r="C2107" s="833"/>
      <c r="D2107" s="833"/>
      <c r="E2107" s="833"/>
      <c r="F2107" s="834"/>
      <c r="G2107" s="90" t="s">
        <v>34</v>
      </c>
    </row>
    <row r="2108" spans="1:11" ht="13.5" thickBot="1">
      <c r="A2108" s="91"/>
      <c r="B2108" s="92"/>
      <c r="C2108" s="163"/>
      <c r="D2108" s="99"/>
      <c r="E2108" s="100"/>
      <c r="F2108" s="101"/>
      <c r="G2108" s="102"/>
    </row>
    <row r="2109" spans="1:11" ht="13.5" thickBot="1">
      <c r="A2109" s="838" t="s">
        <v>1259</v>
      </c>
      <c r="B2109" s="839"/>
      <c r="C2109" s="839"/>
      <c r="D2109" s="839"/>
      <c r="E2109" s="839"/>
      <c r="F2109" s="840"/>
      <c r="G2109" s="103">
        <f>G2101+G2095</f>
        <v>17.697179999999999</v>
      </c>
    </row>
    <row r="2112" spans="1:11">
      <c r="A2112" s="237" t="s">
        <v>131</v>
      </c>
      <c r="B2112" s="190" t="s">
        <v>27</v>
      </c>
      <c r="C2112" s="841" t="s">
        <v>1281</v>
      </c>
      <c r="D2112" s="841"/>
      <c r="E2112" s="841"/>
      <c r="F2112" s="841"/>
      <c r="G2112" s="81" t="s">
        <v>127</v>
      </c>
      <c r="I2112" s="480" t="s">
        <v>1901</v>
      </c>
      <c r="J2112" s="80"/>
      <c r="K2112" s="80"/>
    </row>
    <row r="2113" spans="1:11" ht="50.1" customHeight="1">
      <c r="A2113" s="179" t="s">
        <v>585</v>
      </c>
      <c r="B2113" s="82"/>
      <c r="C2113" s="830" t="s">
        <v>586</v>
      </c>
      <c r="D2113" s="831"/>
      <c r="E2113" s="831"/>
      <c r="F2113" s="186">
        <f>G2132</f>
        <v>12.68938</v>
      </c>
      <c r="G2113" s="83" t="s">
        <v>167</v>
      </c>
      <c r="I2113" s="481"/>
      <c r="J2113" s="272"/>
      <c r="K2113" s="272"/>
    </row>
    <row r="2114" spans="1:11">
      <c r="A2114" s="818" t="s">
        <v>1902</v>
      </c>
      <c r="B2114" s="819"/>
      <c r="C2114" s="819"/>
      <c r="D2114" s="819"/>
      <c r="E2114" s="819"/>
      <c r="F2114" s="819"/>
      <c r="G2114" s="820"/>
    </row>
    <row r="2115" spans="1:11">
      <c r="A2115" s="84" t="s">
        <v>1903</v>
      </c>
      <c r="B2115" s="84" t="s">
        <v>131</v>
      </c>
      <c r="C2115" s="160" t="s">
        <v>1904</v>
      </c>
      <c r="D2115" s="84" t="s">
        <v>167</v>
      </c>
      <c r="E2115" s="85" t="s">
        <v>1905</v>
      </c>
      <c r="F2115" s="86" t="s">
        <v>1906</v>
      </c>
      <c r="G2115" s="86" t="s">
        <v>1907</v>
      </c>
    </row>
    <row r="2116" spans="1:11" ht="36">
      <c r="A2116" s="87" t="s">
        <v>1917</v>
      </c>
      <c r="B2116" s="87" t="s">
        <v>1996</v>
      </c>
      <c r="C2116" s="278" t="str">
        <f>'Mapa Cotações'!B86</f>
        <v>PARAFUSO (TIRANTE) ESTOJO E PORCA SEXTAVADO ROSCA UNC, PARA FLANGE PADRÃO ANSI 16.5, Ø = 8". DIÂMETRO = 3/4" X 1m</v>
      </c>
      <c r="D2116" s="89" t="s">
        <v>180</v>
      </c>
      <c r="E2116" s="88">
        <v>0.11</v>
      </c>
      <c r="F2116" s="89">
        <f>'Mapa Cotações'!M86</f>
        <v>72.77</v>
      </c>
      <c r="G2116" s="89">
        <f>F2116*E2116</f>
        <v>8.0046999999999997</v>
      </c>
    </row>
    <row r="2117" spans="1:11">
      <c r="A2117" s="87"/>
      <c r="B2117" s="87"/>
      <c r="C2117" s="278" t="s">
        <v>34</v>
      </c>
      <c r="D2117" s="89" t="s">
        <v>34</v>
      </c>
      <c r="E2117" s="88"/>
      <c r="F2117" s="89" t="s">
        <v>34</v>
      </c>
      <c r="G2117" s="89" t="s">
        <v>34</v>
      </c>
    </row>
    <row r="2118" spans="1:11">
      <c r="A2118" s="832" t="s">
        <v>1908</v>
      </c>
      <c r="B2118" s="833"/>
      <c r="C2118" s="833"/>
      <c r="D2118" s="833"/>
      <c r="E2118" s="833"/>
      <c r="F2118" s="834"/>
      <c r="G2118" s="90">
        <f>SUM(G2116:G2117)</f>
        <v>8.0046999999999997</v>
      </c>
    </row>
    <row r="2119" spans="1:11">
      <c r="A2119" s="91"/>
      <c r="B2119" s="92"/>
      <c r="C2119" s="161"/>
      <c r="D2119" s="93"/>
      <c r="E2119" s="94"/>
      <c r="F2119" s="95"/>
      <c r="G2119" s="96"/>
    </row>
    <row r="2120" spans="1:11">
      <c r="A2120" s="835" t="s">
        <v>1909</v>
      </c>
      <c r="B2120" s="836"/>
      <c r="C2120" s="836"/>
      <c r="D2120" s="836"/>
      <c r="E2120" s="836"/>
      <c r="F2120" s="836"/>
      <c r="G2120" s="837"/>
    </row>
    <row r="2121" spans="1:11">
      <c r="A2121" s="84" t="s">
        <v>1903</v>
      </c>
      <c r="B2121" s="84" t="s">
        <v>131</v>
      </c>
      <c r="C2121" s="160" t="s">
        <v>1904</v>
      </c>
      <c r="D2121" s="84" t="s">
        <v>167</v>
      </c>
      <c r="E2121" s="85" t="s">
        <v>1905</v>
      </c>
      <c r="F2121" s="86" t="s">
        <v>1906</v>
      </c>
      <c r="G2121" s="86" t="s">
        <v>1907</v>
      </c>
    </row>
    <row r="2122" spans="1:11" ht="24">
      <c r="A2122" s="87" t="s">
        <v>2</v>
      </c>
      <c r="B2122" s="87">
        <v>88248</v>
      </c>
      <c r="C2122" s="278" t="s">
        <v>1947</v>
      </c>
      <c r="D2122" s="89" t="s">
        <v>137</v>
      </c>
      <c r="E2122" s="88">
        <v>0.21840000000000001</v>
      </c>
      <c r="F2122" s="89">
        <v>21.45</v>
      </c>
      <c r="G2122" s="89">
        <v>4.6846800000000002</v>
      </c>
    </row>
    <row r="2123" spans="1:11">
      <c r="A2123" s="87"/>
      <c r="B2123" s="87"/>
      <c r="C2123" s="278" t="s">
        <v>34</v>
      </c>
      <c r="D2123" s="89" t="s">
        <v>34</v>
      </c>
      <c r="E2123" s="88"/>
      <c r="F2123" s="89" t="s">
        <v>34</v>
      </c>
      <c r="G2123" s="89" t="s">
        <v>34</v>
      </c>
    </row>
    <row r="2124" spans="1:11">
      <c r="A2124" s="832" t="s">
        <v>1908</v>
      </c>
      <c r="B2124" s="833"/>
      <c r="C2124" s="833"/>
      <c r="D2124" s="833"/>
      <c r="E2124" s="833"/>
      <c r="F2124" s="834"/>
      <c r="G2124" s="90">
        <v>4.6846800000000002</v>
      </c>
    </row>
    <row r="2125" spans="1:11">
      <c r="A2125" s="91"/>
      <c r="B2125" s="92"/>
      <c r="C2125" s="162"/>
      <c r="D2125" s="92"/>
      <c r="E2125" s="97"/>
      <c r="F2125" s="98"/>
      <c r="G2125" s="96"/>
    </row>
    <row r="2126" spans="1:11">
      <c r="A2126" s="835" t="s">
        <v>1912</v>
      </c>
      <c r="B2126" s="836"/>
      <c r="C2126" s="836"/>
      <c r="D2126" s="836"/>
      <c r="E2126" s="836"/>
      <c r="F2126" s="836"/>
      <c r="G2126" s="837"/>
    </row>
    <row r="2127" spans="1:11">
      <c r="A2127" s="84" t="s">
        <v>1903</v>
      </c>
      <c r="B2127" s="84" t="s">
        <v>131</v>
      </c>
      <c r="C2127" s="160" t="s">
        <v>1904</v>
      </c>
      <c r="D2127" s="84" t="s">
        <v>167</v>
      </c>
      <c r="E2127" s="85" t="s">
        <v>1905</v>
      </c>
      <c r="F2127" s="86" t="s">
        <v>1906</v>
      </c>
      <c r="G2127" s="86" t="s">
        <v>1907</v>
      </c>
    </row>
    <row r="2128" spans="1:11">
      <c r="A2128" s="87"/>
      <c r="B2128" s="87"/>
      <c r="C2128" s="278" t="s">
        <v>34</v>
      </c>
      <c r="D2128" s="89" t="s">
        <v>34</v>
      </c>
      <c r="E2128" s="88"/>
      <c r="F2128" s="89" t="s">
        <v>34</v>
      </c>
      <c r="G2128" s="89" t="s">
        <v>34</v>
      </c>
    </row>
    <row r="2129" spans="1:11">
      <c r="A2129" s="87"/>
      <c r="B2129" s="87"/>
      <c r="C2129" s="278" t="s">
        <v>34</v>
      </c>
      <c r="D2129" s="89" t="s">
        <v>34</v>
      </c>
      <c r="E2129" s="88"/>
      <c r="F2129" s="89" t="s">
        <v>34</v>
      </c>
      <c r="G2129" s="89" t="s">
        <v>34</v>
      </c>
    </row>
    <row r="2130" spans="1:11">
      <c r="A2130" s="832" t="s">
        <v>1908</v>
      </c>
      <c r="B2130" s="833" t="s">
        <v>1908</v>
      </c>
      <c r="C2130" s="833"/>
      <c r="D2130" s="833"/>
      <c r="E2130" s="833"/>
      <c r="F2130" s="834"/>
      <c r="G2130" s="90" t="s">
        <v>34</v>
      </c>
    </row>
    <row r="2131" spans="1:11" ht="13.5" thickBot="1">
      <c r="A2131" s="91"/>
      <c r="B2131" s="92"/>
      <c r="C2131" s="163"/>
      <c r="D2131" s="99"/>
      <c r="E2131" s="100"/>
      <c r="F2131" s="101"/>
      <c r="G2131" s="102"/>
    </row>
    <row r="2132" spans="1:11" ht="13.5" thickBot="1">
      <c r="A2132" s="838" t="s">
        <v>1259</v>
      </c>
      <c r="B2132" s="839"/>
      <c r="C2132" s="839"/>
      <c r="D2132" s="839"/>
      <c r="E2132" s="839"/>
      <c r="F2132" s="840"/>
      <c r="G2132" s="103">
        <f>G2124+G2118</f>
        <v>12.68938</v>
      </c>
    </row>
    <row r="2135" spans="1:11">
      <c r="A2135" s="237" t="s">
        <v>131</v>
      </c>
      <c r="B2135" s="190" t="s">
        <v>27</v>
      </c>
      <c r="C2135" s="841" t="s">
        <v>1281</v>
      </c>
      <c r="D2135" s="841"/>
      <c r="E2135" s="841"/>
      <c r="F2135" s="841"/>
      <c r="G2135" s="81" t="s">
        <v>127</v>
      </c>
      <c r="I2135" s="480" t="s">
        <v>1901</v>
      </c>
      <c r="J2135" s="80"/>
      <c r="K2135" s="80"/>
    </row>
    <row r="2136" spans="1:11" ht="50.1" customHeight="1">
      <c r="A2136" s="179" t="s">
        <v>588</v>
      </c>
      <c r="B2136" s="82"/>
      <c r="C2136" s="830" t="s">
        <v>589</v>
      </c>
      <c r="D2136" s="831"/>
      <c r="E2136" s="831"/>
      <c r="F2136" s="186">
        <f>G2155</f>
        <v>11.961680000000001</v>
      </c>
      <c r="G2136" s="83" t="s">
        <v>167</v>
      </c>
      <c r="I2136" s="481"/>
      <c r="J2136" s="272"/>
      <c r="K2136" s="272"/>
    </row>
    <row r="2137" spans="1:11">
      <c r="A2137" s="818" t="s">
        <v>1902</v>
      </c>
      <c r="B2137" s="819"/>
      <c r="C2137" s="819"/>
      <c r="D2137" s="819"/>
      <c r="E2137" s="819"/>
      <c r="F2137" s="819"/>
      <c r="G2137" s="820"/>
    </row>
    <row r="2138" spans="1:11">
      <c r="A2138" s="84" t="s">
        <v>1903</v>
      </c>
      <c r="B2138" s="84" t="s">
        <v>131</v>
      </c>
      <c r="C2138" s="160" t="s">
        <v>1904</v>
      </c>
      <c r="D2138" s="84" t="s">
        <v>167</v>
      </c>
      <c r="E2138" s="85" t="s">
        <v>1905</v>
      </c>
      <c r="F2138" s="86" t="s">
        <v>1906</v>
      </c>
      <c r="G2138" s="86" t="s">
        <v>1907</v>
      </c>
    </row>
    <row r="2139" spans="1:11" ht="36">
      <c r="A2139" s="87" t="s">
        <v>1917</v>
      </c>
      <c r="B2139" s="87" t="s">
        <v>1996</v>
      </c>
      <c r="C2139" s="278" t="str">
        <f>'Mapa Cotações'!B86</f>
        <v>PARAFUSO (TIRANTE) ESTOJO E PORCA SEXTAVADO ROSCA UNC, PARA FLANGE PADRÃO ANSI 16.5, Ø = 8". DIÂMETRO = 3/4" X 1m</v>
      </c>
      <c r="D2139" s="89" t="s">
        <v>180</v>
      </c>
      <c r="E2139" s="88">
        <v>0.1</v>
      </c>
      <c r="F2139" s="89">
        <f>'Mapa Cotações'!M86</f>
        <v>72.77</v>
      </c>
      <c r="G2139" s="89">
        <f>F2139*E2139</f>
        <v>7.2770000000000001</v>
      </c>
    </row>
    <row r="2140" spans="1:11">
      <c r="A2140" s="87"/>
      <c r="B2140" s="87"/>
      <c r="C2140" s="278" t="s">
        <v>34</v>
      </c>
      <c r="D2140" s="89" t="s">
        <v>34</v>
      </c>
      <c r="E2140" s="88"/>
      <c r="F2140" s="89" t="s">
        <v>34</v>
      </c>
      <c r="G2140" s="89" t="s">
        <v>34</v>
      </c>
    </row>
    <row r="2141" spans="1:11">
      <c r="A2141" s="832" t="s">
        <v>1908</v>
      </c>
      <c r="B2141" s="833"/>
      <c r="C2141" s="833"/>
      <c r="D2141" s="833"/>
      <c r="E2141" s="833"/>
      <c r="F2141" s="834"/>
      <c r="G2141" s="90">
        <f>SUM(G2139:G2140)</f>
        <v>7.2770000000000001</v>
      </c>
    </row>
    <row r="2142" spans="1:11">
      <c r="A2142" s="91"/>
      <c r="B2142" s="92"/>
      <c r="C2142" s="161"/>
      <c r="D2142" s="93"/>
      <c r="E2142" s="94"/>
      <c r="F2142" s="95"/>
      <c r="G2142" s="96"/>
    </row>
    <row r="2143" spans="1:11">
      <c r="A2143" s="835" t="s">
        <v>1909</v>
      </c>
      <c r="B2143" s="836"/>
      <c r="C2143" s="836"/>
      <c r="D2143" s="836"/>
      <c r="E2143" s="836"/>
      <c r="F2143" s="836"/>
      <c r="G2143" s="837"/>
    </row>
    <row r="2144" spans="1:11">
      <c r="A2144" s="84" t="s">
        <v>1903</v>
      </c>
      <c r="B2144" s="84" t="s">
        <v>131</v>
      </c>
      <c r="C2144" s="160" t="s">
        <v>1904</v>
      </c>
      <c r="D2144" s="84" t="s">
        <v>167</v>
      </c>
      <c r="E2144" s="85" t="s">
        <v>1905</v>
      </c>
      <c r="F2144" s="86" t="s">
        <v>1906</v>
      </c>
      <c r="G2144" s="86" t="s">
        <v>1907</v>
      </c>
    </row>
    <row r="2145" spans="1:11" ht="24">
      <c r="A2145" s="87" t="s">
        <v>2</v>
      </c>
      <c r="B2145" s="87">
        <v>88248</v>
      </c>
      <c r="C2145" s="278" t="s">
        <v>1947</v>
      </c>
      <c r="D2145" s="89" t="s">
        <v>137</v>
      </c>
      <c r="E2145" s="88">
        <v>0.21840000000000001</v>
      </c>
      <c r="F2145" s="89">
        <v>21.45</v>
      </c>
      <c r="G2145" s="89">
        <v>4.6846800000000002</v>
      </c>
    </row>
    <row r="2146" spans="1:11">
      <c r="A2146" s="87"/>
      <c r="B2146" s="87"/>
      <c r="C2146" s="278" t="s">
        <v>34</v>
      </c>
      <c r="D2146" s="89" t="s">
        <v>34</v>
      </c>
      <c r="E2146" s="88"/>
      <c r="F2146" s="89" t="s">
        <v>34</v>
      </c>
      <c r="G2146" s="89" t="s">
        <v>34</v>
      </c>
    </row>
    <row r="2147" spans="1:11">
      <c r="A2147" s="832" t="s">
        <v>1908</v>
      </c>
      <c r="B2147" s="833"/>
      <c r="C2147" s="833"/>
      <c r="D2147" s="833"/>
      <c r="E2147" s="833"/>
      <c r="F2147" s="834"/>
      <c r="G2147" s="90">
        <v>4.6846800000000002</v>
      </c>
    </row>
    <row r="2148" spans="1:11">
      <c r="A2148" s="91"/>
      <c r="B2148" s="92"/>
      <c r="C2148" s="162"/>
      <c r="D2148" s="92"/>
      <c r="E2148" s="97"/>
      <c r="F2148" s="98"/>
      <c r="G2148" s="96"/>
    </row>
    <row r="2149" spans="1:11">
      <c r="A2149" s="835" t="s">
        <v>1912</v>
      </c>
      <c r="B2149" s="836"/>
      <c r="C2149" s="836"/>
      <c r="D2149" s="836"/>
      <c r="E2149" s="836"/>
      <c r="F2149" s="836"/>
      <c r="G2149" s="837"/>
    </row>
    <row r="2150" spans="1:11">
      <c r="A2150" s="84" t="s">
        <v>1903</v>
      </c>
      <c r="B2150" s="84" t="s">
        <v>131</v>
      </c>
      <c r="C2150" s="160" t="s">
        <v>1904</v>
      </c>
      <c r="D2150" s="84" t="s">
        <v>167</v>
      </c>
      <c r="E2150" s="85" t="s">
        <v>1905</v>
      </c>
      <c r="F2150" s="86" t="s">
        <v>1906</v>
      </c>
      <c r="G2150" s="86" t="s">
        <v>1907</v>
      </c>
    </row>
    <row r="2151" spans="1:11">
      <c r="A2151" s="87"/>
      <c r="B2151" s="87"/>
      <c r="C2151" s="278" t="s">
        <v>34</v>
      </c>
      <c r="D2151" s="89" t="s">
        <v>34</v>
      </c>
      <c r="E2151" s="88"/>
      <c r="F2151" s="89" t="s">
        <v>34</v>
      </c>
      <c r="G2151" s="89" t="s">
        <v>34</v>
      </c>
    </row>
    <row r="2152" spans="1:11">
      <c r="A2152" s="87"/>
      <c r="B2152" s="87"/>
      <c r="C2152" s="278" t="s">
        <v>34</v>
      </c>
      <c r="D2152" s="89" t="s">
        <v>34</v>
      </c>
      <c r="E2152" s="88"/>
      <c r="F2152" s="89" t="s">
        <v>34</v>
      </c>
      <c r="G2152" s="89" t="s">
        <v>34</v>
      </c>
    </row>
    <row r="2153" spans="1:11">
      <c r="A2153" s="832" t="s">
        <v>1908</v>
      </c>
      <c r="B2153" s="833" t="s">
        <v>1908</v>
      </c>
      <c r="C2153" s="833"/>
      <c r="D2153" s="833"/>
      <c r="E2153" s="833"/>
      <c r="F2153" s="834"/>
      <c r="G2153" s="90" t="s">
        <v>34</v>
      </c>
    </row>
    <row r="2154" spans="1:11" ht="13.5" thickBot="1">
      <c r="A2154" s="91"/>
      <c r="B2154" s="92"/>
      <c r="C2154" s="163"/>
      <c r="D2154" s="99"/>
      <c r="E2154" s="100"/>
      <c r="F2154" s="101"/>
      <c r="G2154" s="102"/>
    </row>
    <row r="2155" spans="1:11" ht="13.5" thickBot="1">
      <c r="A2155" s="838" t="s">
        <v>1259</v>
      </c>
      <c r="B2155" s="839"/>
      <c r="C2155" s="839"/>
      <c r="D2155" s="839"/>
      <c r="E2155" s="839"/>
      <c r="F2155" s="840"/>
      <c r="G2155" s="103">
        <f>G2147+G2141</f>
        <v>11.961680000000001</v>
      </c>
    </row>
    <row r="2158" spans="1:11">
      <c r="A2158" s="237" t="s">
        <v>131</v>
      </c>
      <c r="B2158" s="190" t="s">
        <v>27</v>
      </c>
      <c r="C2158" s="841" t="s">
        <v>1281</v>
      </c>
      <c r="D2158" s="841"/>
      <c r="E2158" s="841"/>
      <c r="F2158" s="841"/>
      <c r="G2158" s="81" t="s">
        <v>127</v>
      </c>
      <c r="I2158" s="480" t="s">
        <v>1901</v>
      </c>
      <c r="J2158" s="80"/>
      <c r="K2158" s="80"/>
    </row>
    <row r="2159" spans="1:11" ht="50.1" customHeight="1">
      <c r="A2159" s="179" t="s">
        <v>591</v>
      </c>
      <c r="B2159" s="82"/>
      <c r="C2159" s="830" t="s">
        <v>592</v>
      </c>
      <c r="D2159" s="831"/>
      <c r="E2159" s="831"/>
      <c r="F2159" s="186">
        <f>G2178</f>
        <v>77.454679999999996</v>
      </c>
      <c r="G2159" s="83" t="s">
        <v>167</v>
      </c>
      <c r="I2159" s="481"/>
      <c r="J2159" s="272"/>
      <c r="K2159" s="272"/>
    </row>
    <row r="2160" spans="1:11">
      <c r="A2160" s="818" t="s">
        <v>1902</v>
      </c>
      <c r="B2160" s="819"/>
      <c r="C2160" s="819"/>
      <c r="D2160" s="819"/>
      <c r="E2160" s="819"/>
      <c r="F2160" s="819"/>
      <c r="G2160" s="820"/>
    </row>
    <row r="2161" spans="1:7">
      <c r="A2161" s="84" t="s">
        <v>1903</v>
      </c>
      <c r="B2161" s="84" t="s">
        <v>131</v>
      </c>
      <c r="C2161" s="160" t="s">
        <v>1904</v>
      </c>
      <c r="D2161" s="84" t="s">
        <v>167</v>
      </c>
      <c r="E2161" s="85" t="s">
        <v>1905</v>
      </c>
      <c r="F2161" s="86" t="s">
        <v>1906</v>
      </c>
      <c r="G2161" s="86" t="s">
        <v>1907</v>
      </c>
    </row>
    <row r="2162" spans="1:7" ht="36">
      <c r="A2162" s="87" t="s">
        <v>1917</v>
      </c>
      <c r="B2162" s="87" t="s">
        <v>1996</v>
      </c>
      <c r="C2162" s="278" t="str">
        <f>'Mapa Cotações'!B86</f>
        <v>PARAFUSO (TIRANTE) ESTOJO E PORCA SEXTAVADO ROSCA UNC, PARA FLANGE PADRÃO ANSI 16.5, Ø = 8". DIÂMETRO = 3/4" X 1m</v>
      </c>
      <c r="D2162" s="89" t="s">
        <v>180</v>
      </c>
      <c r="E2162" s="88">
        <v>1</v>
      </c>
      <c r="F2162" s="89">
        <f>'Mapa Cotações'!M86</f>
        <v>72.77</v>
      </c>
      <c r="G2162" s="89">
        <f>F2162*E2162</f>
        <v>72.77</v>
      </c>
    </row>
    <row r="2163" spans="1:7">
      <c r="A2163" s="87"/>
      <c r="B2163" s="87"/>
      <c r="C2163" s="278" t="s">
        <v>34</v>
      </c>
      <c r="D2163" s="89" t="s">
        <v>34</v>
      </c>
      <c r="E2163" s="88"/>
      <c r="F2163" s="89" t="s">
        <v>34</v>
      </c>
      <c r="G2163" s="89" t="s">
        <v>34</v>
      </c>
    </row>
    <row r="2164" spans="1:7">
      <c r="A2164" s="832" t="s">
        <v>1908</v>
      </c>
      <c r="B2164" s="833"/>
      <c r="C2164" s="833"/>
      <c r="D2164" s="833"/>
      <c r="E2164" s="833"/>
      <c r="F2164" s="834"/>
      <c r="G2164" s="90">
        <f>SUM(G2162:G2163)</f>
        <v>72.77</v>
      </c>
    </row>
    <row r="2165" spans="1:7">
      <c r="A2165" s="91"/>
      <c r="B2165" s="92"/>
      <c r="C2165" s="161"/>
      <c r="D2165" s="93"/>
      <c r="E2165" s="94"/>
      <c r="F2165" s="95"/>
      <c r="G2165" s="96"/>
    </row>
    <row r="2166" spans="1:7">
      <c r="A2166" s="835" t="s">
        <v>1909</v>
      </c>
      <c r="B2166" s="836"/>
      <c r="C2166" s="836"/>
      <c r="D2166" s="836"/>
      <c r="E2166" s="836"/>
      <c r="F2166" s="836"/>
      <c r="G2166" s="837"/>
    </row>
    <row r="2167" spans="1:7">
      <c r="A2167" s="84" t="s">
        <v>1903</v>
      </c>
      <c r="B2167" s="84" t="s">
        <v>131</v>
      </c>
      <c r="C2167" s="160" t="s">
        <v>1904</v>
      </c>
      <c r="D2167" s="84" t="s">
        <v>167</v>
      </c>
      <c r="E2167" s="85" t="s">
        <v>1905</v>
      </c>
      <c r="F2167" s="86" t="s">
        <v>1906</v>
      </c>
      <c r="G2167" s="86" t="s">
        <v>1907</v>
      </c>
    </row>
    <row r="2168" spans="1:7" ht="24">
      <c r="A2168" s="87" t="s">
        <v>2</v>
      </c>
      <c r="B2168" s="87">
        <v>88248</v>
      </c>
      <c r="C2168" s="278" t="s">
        <v>1947</v>
      </c>
      <c r="D2168" s="89" t="s">
        <v>137</v>
      </c>
      <c r="E2168" s="88">
        <v>0.21840000000000001</v>
      </c>
      <c r="F2168" s="89">
        <v>21.45</v>
      </c>
      <c r="G2168" s="89">
        <v>4.6846800000000002</v>
      </c>
    </row>
    <row r="2169" spans="1:7">
      <c r="A2169" s="87"/>
      <c r="B2169" s="87"/>
      <c r="C2169" s="278" t="s">
        <v>34</v>
      </c>
      <c r="D2169" s="89" t="s">
        <v>34</v>
      </c>
      <c r="E2169" s="88"/>
      <c r="F2169" s="89" t="s">
        <v>34</v>
      </c>
      <c r="G2169" s="89" t="s">
        <v>34</v>
      </c>
    </row>
    <row r="2170" spans="1:7">
      <c r="A2170" s="832" t="s">
        <v>1908</v>
      </c>
      <c r="B2170" s="833"/>
      <c r="C2170" s="833"/>
      <c r="D2170" s="833"/>
      <c r="E2170" s="833"/>
      <c r="F2170" s="834"/>
      <c r="G2170" s="90">
        <v>4.6846800000000002</v>
      </c>
    </row>
    <row r="2171" spans="1:7">
      <c r="A2171" s="91"/>
      <c r="B2171" s="92"/>
      <c r="C2171" s="162"/>
      <c r="D2171" s="92"/>
      <c r="E2171" s="97"/>
      <c r="F2171" s="98"/>
      <c r="G2171" s="96"/>
    </row>
    <row r="2172" spans="1:7">
      <c r="A2172" s="835" t="s">
        <v>1912</v>
      </c>
      <c r="B2172" s="836"/>
      <c r="C2172" s="836"/>
      <c r="D2172" s="836"/>
      <c r="E2172" s="836"/>
      <c r="F2172" s="836"/>
      <c r="G2172" s="837"/>
    </row>
    <row r="2173" spans="1:7">
      <c r="A2173" s="84" t="s">
        <v>1903</v>
      </c>
      <c r="B2173" s="84" t="s">
        <v>131</v>
      </c>
      <c r="C2173" s="160" t="s">
        <v>1904</v>
      </c>
      <c r="D2173" s="84" t="s">
        <v>167</v>
      </c>
      <c r="E2173" s="85" t="s">
        <v>1905</v>
      </c>
      <c r="F2173" s="86" t="s">
        <v>1906</v>
      </c>
      <c r="G2173" s="86" t="s">
        <v>1907</v>
      </c>
    </row>
    <row r="2174" spans="1:7">
      <c r="A2174" s="87"/>
      <c r="B2174" s="87"/>
      <c r="C2174" s="278" t="s">
        <v>34</v>
      </c>
      <c r="D2174" s="89" t="s">
        <v>34</v>
      </c>
      <c r="E2174" s="88"/>
      <c r="F2174" s="89" t="s">
        <v>34</v>
      </c>
      <c r="G2174" s="89" t="s">
        <v>34</v>
      </c>
    </row>
    <row r="2175" spans="1:7">
      <c r="A2175" s="87"/>
      <c r="B2175" s="87"/>
      <c r="C2175" s="278" t="s">
        <v>34</v>
      </c>
      <c r="D2175" s="89" t="s">
        <v>34</v>
      </c>
      <c r="E2175" s="88"/>
      <c r="F2175" s="89" t="s">
        <v>34</v>
      </c>
      <c r="G2175" s="89" t="s">
        <v>34</v>
      </c>
    </row>
    <row r="2176" spans="1:7">
      <c r="A2176" s="832" t="s">
        <v>1908</v>
      </c>
      <c r="B2176" s="833" t="s">
        <v>1908</v>
      </c>
      <c r="C2176" s="833"/>
      <c r="D2176" s="833"/>
      <c r="E2176" s="833"/>
      <c r="F2176" s="834"/>
      <c r="G2176" s="90" t="s">
        <v>34</v>
      </c>
    </row>
    <row r="2177" spans="1:11" ht="13.5" thickBot="1">
      <c r="A2177" s="91"/>
      <c r="B2177" s="92"/>
      <c r="C2177" s="163"/>
      <c r="D2177" s="99"/>
      <c r="E2177" s="100"/>
      <c r="F2177" s="101"/>
      <c r="G2177" s="102"/>
    </row>
    <row r="2178" spans="1:11" ht="13.5" thickBot="1">
      <c r="A2178" s="838" t="s">
        <v>1259</v>
      </c>
      <c r="B2178" s="839"/>
      <c r="C2178" s="839"/>
      <c r="D2178" s="839"/>
      <c r="E2178" s="839"/>
      <c r="F2178" s="840"/>
      <c r="G2178" s="103">
        <f>G2170+G2164</f>
        <v>77.454679999999996</v>
      </c>
    </row>
    <row r="2181" spans="1:11">
      <c r="A2181" s="237" t="s">
        <v>131</v>
      </c>
      <c r="B2181" s="190" t="s">
        <v>27</v>
      </c>
      <c r="C2181" s="841" t="s">
        <v>1281</v>
      </c>
      <c r="D2181" s="841"/>
      <c r="E2181" s="841"/>
      <c r="F2181" s="841"/>
      <c r="G2181" s="81" t="s">
        <v>127</v>
      </c>
      <c r="I2181" s="480" t="s">
        <v>1901</v>
      </c>
      <c r="J2181" s="80"/>
      <c r="K2181" s="80"/>
    </row>
    <row r="2182" spans="1:11" ht="50.1" customHeight="1">
      <c r="A2182" s="179" t="s">
        <v>594</v>
      </c>
      <c r="B2182" s="82"/>
      <c r="C2182" s="830" t="s">
        <v>595</v>
      </c>
      <c r="D2182" s="831"/>
      <c r="E2182" s="831"/>
      <c r="F2182" s="186">
        <f>G2201</f>
        <v>10.335610599999999</v>
      </c>
      <c r="G2182" s="83" t="s">
        <v>167</v>
      </c>
      <c r="I2182" s="481"/>
      <c r="J2182" s="272"/>
      <c r="K2182" s="272"/>
    </row>
    <row r="2183" spans="1:11">
      <c r="A2183" s="818" t="s">
        <v>1902</v>
      </c>
      <c r="B2183" s="819"/>
      <c r="C2183" s="819"/>
      <c r="D2183" s="819"/>
      <c r="E2183" s="819"/>
      <c r="F2183" s="819"/>
      <c r="G2183" s="820"/>
    </row>
    <row r="2184" spans="1:11">
      <c r="A2184" s="84" t="s">
        <v>1903</v>
      </c>
      <c r="B2184" s="84" t="s">
        <v>131</v>
      </c>
      <c r="C2184" s="160" t="s">
        <v>1904</v>
      </c>
      <c r="D2184" s="84" t="s">
        <v>167</v>
      </c>
      <c r="E2184" s="85" t="s">
        <v>1905</v>
      </c>
      <c r="F2184" s="86" t="s">
        <v>1906</v>
      </c>
      <c r="G2184" s="86" t="s">
        <v>1907</v>
      </c>
    </row>
    <row r="2185" spans="1:11" ht="36">
      <c r="A2185" s="87" t="s">
        <v>1917</v>
      </c>
      <c r="B2185" s="87" t="s">
        <v>2002</v>
      </c>
      <c r="C2185" s="278" t="str">
        <f>'Mapa Cotações'!B87</f>
        <v>PARAFUSO (TIRANTE) ESTOJO E PORCA SEXTAVADO ROSCA UNC, PARA FLANGE PADRÃO ANSI 16.5, Ø = 4". DIÂMETRO = 5/8" X 1m</v>
      </c>
      <c r="D2185" s="89" t="s">
        <v>180</v>
      </c>
      <c r="E2185" s="88">
        <v>9.5000000000000001E-2</v>
      </c>
      <c r="F2185" s="89">
        <f>'Mapa Cotações'!M87</f>
        <v>59.48348</v>
      </c>
      <c r="G2185" s="89">
        <f>F2185*E2185</f>
        <v>5.6509305999999997</v>
      </c>
    </row>
    <row r="2186" spans="1:11">
      <c r="A2186" s="87"/>
      <c r="B2186" s="87"/>
      <c r="C2186" s="278" t="s">
        <v>34</v>
      </c>
      <c r="D2186" s="89" t="s">
        <v>34</v>
      </c>
      <c r="E2186" s="88"/>
      <c r="F2186" s="89" t="s">
        <v>34</v>
      </c>
      <c r="G2186" s="89" t="s">
        <v>34</v>
      </c>
    </row>
    <row r="2187" spans="1:11">
      <c r="A2187" s="832" t="s">
        <v>1908</v>
      </c>
      <c r="B2187" s="833"/>
      <c r="C2187" s="833"/>
      <c r="D2187" s="833"/>
      <c r="E2187" s="833"/>
      <c r="F2187" s="834"/>
      <c r="G2187" s="90">
        <f>SUM(G2185:G2186)</f>
        <v>5.6509305999999997</v>
      </c>
    </row>
    <row r="2188" spans="1:11">
      <c r="A2188" s="91"/>
      <c r="B2188" s="92"/>
      <c r="C2188" s="161"/>
      <c r="D2188" s="93"/>
      <c r="E2188" s="94"/>
      <c r="F2188" s="95"/>
      <c r="G2188" s="96"/>
    </row>
    <row r="2189" spans="1:11">
      <c r="A2189" s="835" t="s">
        <v>1909</v>
      </c>
      <c r="B2189" s="836"/>
      <c r="C2189" s="836"/>
      <c r="D2189" s="836"/>
      <c r="E2189" s="836"/>
      <c r="F2189" s="836"/>
      <c r="G2189" s="837"/>
    </row>
    <row r="2190" spans="1:11">
      <c r="A2190" s="84" t="s">
        <v>1903</v>
      </c>
      <c r="B2190" s="84" t="s">
        <v>131</v>
      </c>
      <c r="C2190" s="160" t="s">
        <v>1904</v>
      </c>
      <c r="D2190" s="84" t="s">
        <v>167</v>
      </c>
      <c r="E2190" s="85" t="s">
        <v>1905</v>
      </c>
      <c r="F2190" s="86" t="s">
        <v>1906</v>
      </c>
      <c r="G2190" s="86" t="s">
        <v>1907</v>
      </c>
    </row>
    <row r="2191" spans="1:11" ht="24">
      <c r="A2191" s="87" t="s">
        <v>2</v>
      </c>
      <c r="B2191" s="87">
        <v>88248</v>
      </c>
      <c r="C2191" s="278" t="s">
        <v>1947</v>
      </c>
      <c r="D2191" s="89" t="s">
        <v>137</v>
      </c>
      <c r="E2191" s="88">
        <v>0.21840000000000001</v>
      </c>
      <c r="F2191" s="89">
        <v>21.45</v>
      </c>
      <c r="G2191" s="89">
        <v>4.6846800000000002</v>
      </c>
    </row>
    <row r="2192" spans="1:11">
      <c r="A2192" s="87"/>
      <c r="B2192" s="87"/>
      <c r="C2192" s="278" t="s">
        <v>34</v>
      </c>
      <c r="D2192" s="89" t="s">
        <v>34</v>
      </c>
      <c r="E2192" s="88"/>
      <c r="F2192" s="89" t="s">
        <v>34</v>
      </c>
      <c r="G2192" s="89" t="s">
        <v>34</v>
      </c>
    </row>
    <row r="2193" spans="1:11">
      <c r="A2193" s="832" t="s">
        <v>1908</v>
      </c>
      <c r="B2193" s="833"/>
      <c r="C2193" s="833"/>
      <c r="D2193" s="833"/>
      <c r="E2193" s="833"/>
      <c r="F2193" s="834"/>
      <c r="G2193" s="90">
        <v>4.6846800000000002</v>
      </c>
    </row>
    <row r="2194" spans="1:11">
      <c r="A2194" s="91"/>
      <c r="B2194" s="92"/>
      <c r="C2194" s="162"/>
      <c r="D2194" s="92"/>
      <c r="E2194" s="97"/>
      <c r="F2194" s="98"/>
      <c r="G2194" s="96"/>
    </row>
    <row r="2195" spans="1:11">
      <c r="A2195" s="835" t="s">
        <v>1912</v>
      </c>
      <c r="B2195" s="836"/>
      <c r="C2195" s="836"/>
      <c r="D2195" s="836"/>
      <c r="E2195" s="836"/>
      <c r="F2195" s="836"/>
      <c r="G2195" s="837"/>
    </row>
    <row r="2196" spans="1:11">
      <c r="A2196" s="84" t="s">
        <v>1903</v>
      </c>
      <c r="B2196" s="84" t="s">
        <v>131</v>
      </c>
      <c r="C2196" s="160" t="s">
        <v>1904</v>
      </c>
      <c r="D2196" s="84" t="s">
        <v>167</v>
      </c>
      <c r="E2196" s="85" t="s">
        <v>1905</v>
      </c>
      <c r="F2196" s="86" t="s">
        <v>1906</v>
      </c>
      <c r="G2196" s="86" t="s">
        <v>1907</v>
      </c>
    </row>
    <row r="2197" spans="1:11">
      <c r="A2197" s="87"/>
      <c r="B2197" s="87"/>
      <c r="C2197" s="278" t="s">
        <v>34</v>
      </c>
      <c r="D2197" s="89" t="s">
        <v>34</v>
      </c>
      <c r="E2197" s="88"/>
      <c r="F2197" s="89" t="s">
        <v>34</v>
      </c>
      <c r="G2197" s="89" t="s">
        <v>34</v>
      </c>
    </row>
    <row r="2198" spans="1:11">
      <c r="A2198" s="87"/>
      <c r="B2198" s="87"/>
      <c r="C2198" s="278" t="s">
        <v>34</v>
      </c>
      <c r="D2198" s="89" t="s">
        <v>34</v>
      </c>
      <c r="E2198" s="88"/>
      <c r="F2198" s="89" t="s">
        <v>34</v>
      </c>
      <c r="G2198" s="89" t="s">
        <v>34</v>
      </c>
    </row>
    <row r="2199" spans="1:11">
      <c r="A2199" s="832" t="s">
        <v>1908</v>
      </c>
      <c r="B2199" s="833" t="s">
        <v>1908</v>
      </c>
      <c r="C2199" s="833"/>
      <c r="D2199" s="833"/>
      <c r="E2199" s="833"/>
      <c r="F2199" s="834"/>
      <c r="G2199" s="90" t="s">
        <v>34</v>
      </c>
    </row>
    <row r="2200" spans="1:11" ht="13.5" thickBot="1">
      <c r="A2200" s="91"/>
      <c r="B2200" s="92"/>
      <c r="C2200" s="163"/>
      <c r="D2200" s="99"/>
      <c r="E2200" s="100"/>
      <c r="F2200" s="101"/>
      <c r="G2200" s="102"/>
    </row>
    <row r="2201" spans="1:11" ht="13.5" thickBot="1">
      <c r="A2201" s="838" t="s">
        <v>1259</v>
      </c>
      <c r="B2201" s="839"/>
      <c r="C2201" s="839"/>
      <c r="D2201" s="839"/>
      <c r="E2201" s="839"/>
      <c r="F2201" s="840"/>
      <c r="G2201" s="103">
        <f>G2193+G2187</f>
        <v>10.335610599999999</v>
      </c>
    </row>
    <row r="2204" spans="1:11">
      <c r="A2204" s="237" t="s">
        <v>131</v>
      </c>
      <c r="B2204" s="190" t="s">
        <v>27</v>
      </c>
      <c r="C2204" s="841" t="s">
        <v>1281</v>
      </c>
      <c r="D2204" s="841"/>
      <c r="E2204" s="841"/>
      <c r="F2204" s="841"/>
      <c r="G2204" s="81" t="s">
        <v>127</v>
      </c>
      <c r="I2204" s="480" t="s">
        <v>1901</v>
      </c>
      <c r="J2204" s="80"/>
      <c r="K2204" s="80"/>
    </row>
    <row r="2205" spans="1:11" ht="50.1" customHeight="1">
      <c r="A2205" s="179" t="s">
        <v>597</v>
      </c>
      <c r="B2205" s="82"/>
      <c r="C2205" s="830" t="s">
        <v>598</v>
      </c>
      <c r="D2205" s="831"/>
      <c r="E2205" s="831"/>
      <c r="F2205" s="186">
        <f>G2224</f>
        <v>10.335610599999999</v>
      </c>
      <c r="G2205" s="83" t="s">
        <v>167</v>
      </c>
      <c r="I2205" s="481"/>
      <c r="J2205" s="272"/>
      <c r="K2205" s="272"/>
    </row>
    <row r="2206" spans="1:11">
      <c r="A2206" s="818" t="s">
        <v>1902</v>
      </c>
      <c r="B2206" s="819"/>
      <c r="C2206" s="819"/>
      <c r="D2206" s="819"/>
      <c r="E2206" s="819"/>
      <c r="F2206" s="819"/>
      <c r="G2206" s="820"/>
    </row>
    <row r="2207" spans="1:11">
      <c r="A2207" s="84" t="s">
        <v>1903</v>
      </c>
      <c r="B2207" s="84" t="s">
        <v>131</v>
      </c>
      <c r="C2207" s="160" t="s">
        <v>1904</v>
      </c>
      <c r="D2207" s="84" t="s">
        <v>167</v>
      </c>
      <c r="E2207" s="85" t="s">
        <v>1905</v>
      </c>
      <c r="F2207" s="86" t="s">
        <v>1906</v>
      </c>
      <c r="G2207" s="86" t="s">
        <v>1907</v>
      </c>
    </row>
    <row r="2208" spans="1:11" ht="36">
      <c r="A2208" s="87" t="s">
        <v>1917</v>
      </c>
      <c r="B2208" s="87" t="s">
        <v>2002</v>
      </c>
      <c r="C2208" s="278" t="str">
        <f>'Mapa Cotações'!B87</f>
        <v>PARAFUSO (TIRANTE) ESTOJO E PORCA SEXTAVADO ROSCA UNC, PARA FLANGE PADRÃO ANSI 16.5, Ø = 4". DIÂMETRO = 5/8" X 1m</v>
      </c>
      <c r="D2208" s="89" t="s">
        <v>180</v>
      </c>
      <c r="E2208" s="88">
        <v>9.5000000000000001E-2</v>
      </c>
      <c r="F2208" s="89">
        <f>'Mapa Cotações'!M87</f>
        <v>59.48348</v>
      </c>
      <c r="G2208" s="89">
        <f>F2208*E2208</f>
        <v>5.6509305999999997</v>
      </c>
    </row>
    <row r="2209" spans="1:7">
      <c r="A2209" s="87"/>
      <c r="B2209" s="87"/>
      <c r="C2209" s="278" t="s">
        <v>34</v>
      </c>
      <c r="D2209" s="89" t="s">
        <v>34</v>
      </c>
      <c r="E2209" s="88"/>
      <c r="F2209" s="89" t="s">
        <v>34</v>
      </c>
      <c r="G2209" s="89" t="s">
        <v>34</v>
      </c>
    </row>
    <row r="2210" spans="1:7">
      <c r="A2210" s="832" t="s">
        <v>1908</v>
      </c>
      <c r="B2210" s="833"/>
      <c r="C2210" s="833"/>
      <c r="D2210" s="833"/>
      <c r="E2210" s="833"/>
      <c r="F2210" s="834"/>
      <c r="G2210" s="90">
        <f>SUM(G2208:G2209)</f>
        <v>5.6509305999999997</v>
      </c>
    </row>
    <row r="2211" spans="1:7">
      <c r="A2211" s="91"/>
      <c r="B2211" s="92"/>
      <c r="C2211" s="161"/>
      <c r="D2211" s="93"/>
      <c r="E2211" s="94"/>
      <c r="F2211" s="95"/>
      <c r="G2211" s="96"/>
    </row>
    <row r="2212" spans="1:7">
      <c r="A2212" s="835" t="s">
        <v>1909</v>
      </c>
      <c r="B2212" s="836"/>
      <c r="C2212" s="836"/>
      <c r="D2212" s="836"/>
      <c r="E2212" s="836"/>
      <c r="F2212" s="836"/>
      <c r="G2212" s="837"/>
    </row>
    <row r="2213" spans="1:7">
      <c r="A2213" s="84" t="s">
        <v>1903</v>
      </c>
      <c r="B2213" s="84" t="s">
        <v>131</v>
      </c>
      <c r="C2213" s="160" t="s">
        <v>1904</v>
      </c>
      <c r="D2213" s="84" t="s">
        <v>167</v>
      </c>
      <c r="E2213" s="85" t="s">
        <v>1905</v>
      </c>
      <c r="F2213" s="86" t="s">
        <v>1906</v>
      </c>
      <c r="G2213" s="86" t="s">
        <v>1907</v>
      </c>
    </row>
    <row r="2214" spans="1:7" ht="24">
      <c r="A2214" s="87" t="s">
        <v>2</v>
      </c>
      <c r="B2214" s="87">
        <v>88248</v>
      </c>
      <c r="C2214" s="278" t="s">
        <v>1947</v>
      </c>
      <c r="D2214" s="89" t="s">
        <v>137</v>
      </c>
      <c r="E2214" s="88">
        <v>0.21840000000000001</v>
      </c>
      <c r="F2214" s="89">
        <v>21.45</v>
      </c>
      <c r="G2214" s="89">
        <v>4.6846800000000002</v>
      </c>
    </row>
    <row r="2215" spans="1:7">
      <c r="A2215" s="87"/>
      <c r="B2215" s="87"/>
      <c r="C2215" s="278" t="s">
        <v>34</v>
      </c>
      <c r="D2215" s="89" t="s">
        <v>34</v>
      </c>
      <c r="E2215" s="88"/>
      <c r="F2215" s="89" t="s">
        <v>34</v>
      </c>
      <c r="G2215" s="89" t="s">
        <v>34</v>
      </c>
    </row>
    <row r="2216" spans="1:7">
      <c r="A2216" s="832" t="s">
        <v>1908</v>
      </c>
      <c r="B2216" s="833"/>
      <c r="C2216" s="833"/>
      <c r="D2216" s="833"/>
      <c r="E2216" s="833"/>
      <c r="F2216" s="834"/>
      <c r="G2216" s="90">
        <v>4.6846800000000002</v>
      </c>
    </row>
    <row r="2217" spans="1:7">
      <c r="A2217" s="91"/>
      <c r="B2217" s="92"/>
      <c r="C2217" s="162"/>
      <c r="D2217" s="92"/>
      <c r="E2217" s="97"/>
      <c r="F2217" s="98"/>
      <c r="G2217" s="96"/>
    </row>
    <row r="2218" spans="1:7">
      <c r="A2218" s="835" t="s">
        <v>1912</v>
      </c>
      <c r="B2218" s="836"/>
      <c r="C2218" s="836"/>
      <c r="D2218" s="836"/>
      <c r="E2218" s="836"/>
      <c r="F2218" s="836"/>
      <c r="G2218" s="837"/>
    </row>
    <row r="2219" spans="1:7">
      <c r="A2219" s="84" t="s">
        <v>1903</v>
      </c>
      <c r="B2219" s="84" t="s">
        <v>131</v>
      </c>
      <c r="C2219" s="160" t="s">
        <v>1904</v>
      </c>
      <c r="D2219" s="84" t="s">
        <v>167</v>
      </c>
      <c r="E2219" s="85" t="s">
        <v>1905</v>
      </c>
      <c r="F2219" s="86" t="s">
        <v>1906</v>
      </c>
      <c r="G2219" s="86" t="s">
        <v>1907</v>
      </c>
    </row>
    <row r="2220" spans="1:7">
      <c r="A2220" s="87"/>
      <c r="B2220" s="87"/>
      <c r="C2220" s="278" t="s">
        <v>34</v>
      </c>
      <c r="D2220" s="89" t="s">
        <v>34</v>
      </c>
      <c r="E2220" s="88"/>
      <c r="F2220" s="89" t="s">
        <v>34</v>
      </c>
      <c r="G2220" s="89" t="s">
        <v>34</v>
      </c>
    </row>
    <row r="2221" spans="1:7">
      <c r="A2221" s="87"/>
      <c r="B2221" s="87"/>
      <c r="C2221" s="278" t="s">
        <v>34</v>
      </c>
      <c r="D2221" s="89" t="s">
        <v>34</v>
      </c>
      <c r="E2221" s="88"/>
      <c r="F2221" s="89" t="s">
        <v>34</v>
      </c>
      <c r="G2221" s="89" t="s">
        <v>34</v>
      </c>
    </row>
    <row r="2222" spans="1:7">
      <c r="A2222" s="832" t="s">
        <v>1908</v>
      </c>
      <c r="B2222" s="833" t="s">
        <v>1908</v>
      </c>
      <c r="C2222" s="833"/>
      <c r="D2222" s="833"/>
      <c r="E2222" s="833"/>
      <c r="F2222" s="834"/>
      <c r="G2222" s="90" t="s">
        <v>34</v>
      </c>
    </row>
    <row r="2223" spans="1:7" ht="13.5" thickBot="1">
      <c r="A2223" s="91"/>
      <c r="B2223" s="92"/>
      <c r="C2223" s="163"/>
      <c r="D2223" s="99"/>
      <c r="E2223" s="100"/>
      <c r="F2223" s="101"/>
      <c r="G2223" s="102"/>
    </row>
    <row r="2224" spans="1:7" ht="13.5" thickBot="1">
      <c r="A2224" s="838" t="s">
        <v>1259</v>
      </c>
      <c r="B2224" s="839"/>
      <c r="C2224" s="839"/>
      <c r="D2224" s="839"/>
      <c r="E2224" s="839"/>
      <c r="F2224" s="840"/>
      <c r="G2224" s="103">
        <f>G2216+G2210</f>
        <v>10.335610599999999</v>
      </c>
    </row>
    <row r="2227" spans="1:11">
      <c r="A2227" s="237" t="s">
        <v>131</v>
      </c>
      <c r="B2227" s="190" t="s">
        <v>27</v>
      </c>
      <c r="C2227" s="841" t="s">
        <v>1281</v>
      </c>
      <c r="D2227" s="841"/>
      <c r="E2227" s="841"/>
      <c r="F2227" s="841"/>
      <c r="G2227" s="81" t="s">
        <v>127</v>
      </c>
      <c r="I2227" s="480" t="s">
        <v>1901</v>
      </c>
      <c r="J2227" s="80"/>
      <c r="K2227" s="80"/>
    </row>
    <row r="2228" spans="1:11" ht="50.1" customHeight="1">
      <c r="A2228" s="179" t="s">
        <v>600</v>
      </c>
      <c r="B2228" s="82"/>
      <c r="C2228" s="830" t="s">
        <v>601</v>
      </c>
      <c r="D2228" s="831"/>
      <c r="E2228" s="831"/>
      <c r="F2228" s="186">
        <f>G2247</f>
        <v>9.7407758000000015</v>
      </c>
      <c r="G2228" s="83" t="s">
        <v>167</v>
      </c>
      <c r="I2228" s="481"/>
      <c r="J2228" s="272"/>
      <c r="K2228" s="272"/>
    </row>
    <row r="2229" spans="1:11">
      <c r="A2229" s="818" t="s">
        <v>1902</v>
      </c>
      <c r="B2229" s="819"/>
      <c r="C2229" s="819"/>
      <c r="D2229" s="819"/>
      <c r="E2229" s="819"/>
      <c r="F2229" s="819"/>
      <c r="G2229" s="820"/>
    </row>
    <row r="2230" spans="1:11">
      <c r="A2230" s="84" t="s">
        <v>1903</v>
      </c>
      <c r="B2230" s="84" t="s">
        <v>131</v>
      </c>
      <c r="C2230" s="160" t="s">
        <v>1904</v>
      </c>
      <c r="D2230" s="84" t="s">
        <v>167</v>
      </c>
      <c r="E2230" s="85" t="s">
        <v>1905</v>
      </c>
      <c r="F2230" s="86" t="s">
        <v>1906</v>
      </c>
      <c r="G2230" s="86" t="s">
        <v>1907</v>
      </c>
    </row>
    <row r="2231" spans="1:11" ht="36">
      <c r="A2231" s="87" t="s">
        <v>1917</v>
      </c>
      <c r="B2231" s="87" t="s">
        <v>2002</v>
      </c>
      <c r="C2231" s="278" t="str">
        <f>'Mapa Cotações'!B87</f>
        <v>PARAFUSO (TIRANTE) ESTOJO E PORCA SEXTAVADO ROSCA UNC, PARA FLANGE PADRÃO ANSI 16.5, Ø = 4". DIÂMETRO = 5/8" X 1m</v>
      </c>
      <c r="D2231" s="89" t="s">
        <v>180</v>
      </c>
      <c r="E2231" s="88">
        <v>8.5000000000000006E-2</v>
      </c>
      <c r="F2231" s="89">
        <f>'Mapa Cotações'!M87</f>
        <v>59.48348</v>
      </c>
      <c r="G2231" s="89">
        <f>F2231*E2231</f>
        <v>5.0560958000000005</v>
      </c>
    </row>
    <row r="2232" spans="1:11">
      <c r="A2232" s="87"/>
      <c r="B2232" s="87"/>
      <c r="C2232" s="278" t="s">
        <v>34</v>
      </c>
      <c r="D2232" s="89" t="s">
        <v>34</v>
      </c>
      <c r="E2232" s="88"/>
      <c r="F2232" s="89" t="s">
        <v>34</v>
      </c>
      <c r="G2232" s="89" t="s">
        <v>34</v>
      </c>
    </row>
    <row r="2233" spans="1:11">
      <c r="A2233" s="832" t="s">
        <v>1908</v>
      </c>
      <c r="B2233" s="833"/>
      <c r="C2233" s="833"/>
      <c r="D2233" s="833"/>
      <c r="E2233" s="833"/>
      <c r="F2233" s="834"/>
      <c r="G2233" s="90">
        <f>SUM(G2231:G2232)</f>
        <v>5.0560958000000005</v>
      </c>
    </row>
    <row r="2234" spans="1:11">
      <c r="A2234" s="91"/>
      <c r="B2234" s="92"/>
      <c r="C2234" s="161"/>
      <c r="D2234" s="93"/>
      <c r="E2234" s="94"/>
      <c r="F2234" s="95"/>
      <c r="G2234" s="96"/>
    </row>
    <row r="2235" spans="1:11">
      <c r="A2235" s="835" t="s">
        <v>1909</v>
      </c>
      <c r="B2235" s="836"/>
      <c r="C2235" s="836"/>
      <c r="D2235" s="836"/>
      <c r="E2235" s="836"/>
      <c r="F2235" s="836"/>
      <c r="G2235" s="837"/>
    </row>
    <row r="2236" spans="1:11">
      <c r="A2236" s="84" t="s">
        <v>1903</v>
      </c>
      <c r="B2236" s="84" t="s">
        <v>131</v>
      </c>
      <c r="C2236" s="160" t="s">
        <v>1904</v>
      </c>
      <c r="D2236" s="84" t="s">
        <v>167</v>
      </c>
      <c r="E2236" s="85" t="s">
        <v>1905</v>
      </c>
      <c r="F2236" s="86" t="s">
        <v>1906</v>
      </c>
      <c r="G2236" s="86" t="s">
        <v>1907</v>
      </c>
    </row>
    <row r="2237" spans="1:11" ht="24">
      <c r="A2237" s="87" t="s">
        <v>2</v>
      </c>
      <c r="B2237" s="87">
        <v>88248</v>
      </c>
      <c r="C2237" s="278" t="s">
        <v>1947</v>
      </c>
      <c r="D2237" s="89" t="s">
        <v>137</v>
      </c>
      <c r="E2237" s="88">
        <v>0.21840000000000001</v>
      </c>
      <c r="F2237" s="89">
        <v>21.45</v>
      </c>
      <c r="G2237" s="89">
        <v>4.6846800000000002</v>
      </c>
    </row>
    <row r="2238" spans="1:11">
      <c r="A2238" s="87"/>
      <c r="B2238" s="87"/>
      <c r="C2238" s="278" t="s">
        <v>34</v>
      </c>
      <c r="D2238" s="89" t="s">
        <v>34</v>
      </c>
      <c r="E2238" s="88"/>
      <c r="F2238" s="89" t="s">
        <v>34</v>
      </c>
      <c r="G2238" s="89" t="s">
        <v>34</v>
      </c>
    </row>
    <row r="2239" spans="1:11">
      <c r="A2239" s="832" t="s">
        <v>1908</v>
      </c>
      <c r="B2239" s="833"/>
      <c r="C2239" s="833"/>
      <c r="D2239" s="833"/>
      <c r="E2239" s="833"/>
      <c r="F2239" s="834"/>
      <c r="G2239" s="90">
        <v>4.6846800000000002</v>
      </c>
    </row>
    <row r="2240" spans="1:11">
      <c r="A2240" s="91"/>
      <c r="B2240" s="92"/>
      <c r="C2240" s="162"/>
      <c r="D2240" s="92"/>
      <c r="E2240" s="97"/>
      <c r="F2240" s="98"/>
      <c r="G2240" s="96"/>
    </row>
    <row r="2241" spans="1:11">
      <c r="A2241" s="835" t="s">
        <v>1912</v>
      </c>
      <c r="B2241" s="836"/>
      <c r="C2241" s="836"/>
      <c r="D2241" s="836"/>
      <c r="E2241" s="836"/>
      <c r="F2241" s="836"/>
      <c r="G2241" s="837"/>
    </row>
    <row r="2242" spans="1:11">
      <c r="A2242" s="84" t="s">
        <v>1903</v>
      </c>
      <c r="B2242" s="84" t="s">
        <v>131</v>
      </c>
      <c r="C2242" s="160" t="s">
        <v>1904</v>
      </c>
      <c r="D2242" s="84" t="s">
        <v>167</v>
      </c>
      <c r="E2242" s="85" t="s">
        <v>1905</v>
      </c>
      <c r="F2242" s="86" t="s">
        <v>1906</v>
      </c>
      <c r="G2242" s="86" t="s">
        <v>1907</v>
      </c>
    </row>
    <row r="2243" spans="1:11">
      <c r="A2243" s="87"/>
      <c r="B2243" s="87"/>
      <c r="C2243" s="278" t="s">
        <v>34</v>
      </c>
      <c r="D2243" s="89" t="s">
        <v>34</v>
      </c>
      <c r="E2243" s="88"/>
      <c r="F2243" s="89" t="s">
        <v>34</v>
      </c>
      <c r="G2243" s="89" t="s">
        <v>34</v>
      </c>
    </row>
    <row r="2244" spans="1:11">
      <c r="A2244" s="87"/>
      <c r="B2244" s="87"/>
      <c r="C2244" s="278" t="s">
        <v>34</v>
      </c>
      <c r="D2244" s="89" t="s">
        <v>34</v>
      </c>
      <c r="E2244" s="88"/>
      <c r="F2244" s="89" t="s">
        <v>34</v>
      </c>
      <c r="G2244" s="89" t="s">
        <v>34</v>
      </c>
    </row>
    <row r="2245" spans="1:11">
      <c r="A2245" s="832" t="s">
        <v>1908</v>
      </c>
      <c r="B2245" s="833" t="s">
        <v>1908</v>
      </c>
      <c r="C2245" s="833"/>
      <c r="D2245" s="833"/>
      <c r="E2245" s="833"/>
      <c r="F2245" s="834"/>
      <c r="G2245" s="90" t="s">
        <v>34</v>
      </c>
    </row>
    <row r="2246" spans="1:11" ht="13.5" thickBot="1">
      <c r="A2246" s="91"/>
      <c r="B2246" s="92"/>
      <c r="C2246" s="163"/>
      <c r="D2246" s="99"/>
      <c r="E2246" s="100"/>
      <c r="F2246" s="101"/>
      <c r="G2246" s="102"/>
    </row>
    <row r="2247" spans="1:11" ht="13.5" thickBot="1">
      <c r="A2247" s="838" t="s">
        <v>1259</v>
      </c>
      <c r="B2247" s="839"/>
      <c r="C2247" s="839"/>
      <c r="D2247" s="839"/>
      <c r="E2247" s="839"/>
      <c r="F2247" s="840"/>
      <c r="G2247" s="103">
        <f>G2239+G2233</f>
        <v>9.7407758000000015</v>
      </c>
    </row>
    <row r="2250" spans="1:11">
      <c r="A2250" s="237" t="s">
        <v>131</v>
      </c>
      <c r="B2250" s="190" t="s">
        <v>27</v>
      </c>
      <c r="C2250" s="841" t="s">
        <v>1281</v>
      </c>
      <c r="D2250" s="841"/>
      <c r="E2250" s="841"/>
      <c r="F2250" s="841"/>
      <c r="G2250" s="81" t="s">
        <v>127</v>
      </c>
      <c r="I2250" s="480" t="s">
        <v>1901</v>
      </c>
      <c r="J2250" s="80"/>
      <c r="K2250" s="80"/>
    </row>
    <row r="2251" spans="1:11" ht="50.1" customHeight="1">
      <c r="A2251" s="179" t="s">
        <v>611</v>
      </c>
      <c r="B2251" s="82"/>
      <c r="C2251" s="830" t="s">
        <v>612</v>
      </c>
      <c r="D2251" s="831"/>
      <c r="E2251" s="831"/>
      <c r="F2251" s="186">
        <f>G2271</f>
        <v>760.67439999999999</v>
      </c>
      <c r="G2251" s="83" t="s">
        <v>167</v>
      </c>
      <c r="I2251" s="481"/>
      <c r="J2251" s="272"/>
      <c r="K2251" s="272"/>
    </row>
    <row r="2252" spans="1:11">
      <c r="A2252" s="818" t="s">
        <v>1902</v>
      </c>
      <c r="B2252" s="819"/>
      <c r="C2252" s="819"/>
      <c r="D2252" s="819"/>
      <c r="E2252" s="819"/>
      <c r="F2252" s="819"/>
      <c r="G2252" s="820"/>
    </row>
    <row r="2253" spans="1:11">
      <c r="A2253" s="84" t="s">
        <v>1903</v>
      </c>
      <c r="B2253" s="84" t="s">
        <v>131</v>
      </c>
      <c r="C2253" s="160" t="s">
        <v>1904</v>
      </c>
      <c r="D2253" s="84" t="s">
        <v>167</v>
      </c>
      <c r="E2253" s="85" t="s">
        <v>1905</v>
      </c>
      <c r="F2253" s="86" t="s">
        <v>1906</v>
      </c>
      <c r="G2253" s="86" t="s">
        <v>1907</v>
      </c>
    </row>
    <row r="2254" spans="1:11" ht="36">
      <c r="A2254" s="87" t="s">
        <v>1917</v>
      </c>
      <c r="B2254" s="87" t="s">
        <v>2047</v>
      </c>
      <c r="C2254" s="278" t="s">
        <v>612</v>
      </c>
      <c r="D2254" s="89" t="s">
        <v>167</v>
      </c>
      <c r="E2254" s="88">
        <v>1</v>
      </c>
      <c r="F2254" s="89">
        <f>'Mapa Cotações'!M88</f>
        <v>520.65</v>
      </c>
      <c r="G2254" s="89">
        <f>F2254*E2254</f>
        <v>520.65</v>
      </c>
    </row>
    <row r="2255" spans="1:11" ht="24">
      <c r="A2255" s="87" t="s">
        <v>2</v>
      </c>
      <c r="B2255" s="87">
        <v>11002</v>
      </c>
      <c r="C2255" s="278" t="s">
        <v>2048</v>
      </c>
      <c r="D2255" s="89" t="s">
        <v>2049</v>
      </c>
      <c r="E2255" s="88">
        <v>0.156</v>
      </c>
      <c r="F2255" s="89">
        <v>53.56</v>
      </c>
      <c r="G2255" s="89">
        <v>8.355360000000001</v>
      </c>
    </row>
    <row r="2256" spans="1:11">
      <c r="A2256" s="832" t="s">
        <v>1908</v>
      </c>
      <c r="B2256" s="833"/>
      <c r="C2256" s="833"/>
      <c r="D2256" s="833"/>
      <c r="E2256" s="833"/>
      <c r="F2256" s="834"/>
      <c r="G2256" s="90">
        <f>SUM(G2254:G2255)</f>
        <v>529.00536</v>
      </c>
    </row>
    <row r="2257" spans="1:7">
      <c r="A2257" s="91"/>
      <c r="B2257" s="92"/>
      <c r="C2257" s="161"/>
      <c r="D2257" s="93"/>
      <c r="E2257" s="94"/>
      <c r="F2257" s="95"/>
      <c r="G2257" s="96"/>
    </row>
    <row r="2258" spans="1:7">
      <c r="A2258" s="835" t="s">
        <v>1909</v>
      </c>
      <c r="B2258" s="836"/>
      <c r="C2258" s="836"/>
      <c r="D2258" s="836"/>
      <c r="E2258" s="836"/>
      <c r="F2258" s="836"/>
      <c r="G2258" s="837"/>
    </row>
    <row r="2259" spans="1:7">
      <c r="A2259" s="84" t="s">
        <v>1903</v>
      </c>
      <c r="B2259" s="84" t="s">
        <v>131</v>
      </c>
      <c r="C2259" s="160" t="s">
        <v>1904</v>
      </c>
      <c r="D2259" s="84" t="s">
        <v>167</v>
      </c>
      <c r="E2259" s="85" t="s">
        <v>1905</v>
      </c>
      <c r="F2259" s="86" t="s">
        <v>1906</v>
      </c>
      <c r="G2259" s="86" t="s">
        <v>1907</v>
      </c>
    </row>
    <row r="2260" spans="1:7" ht="24">
      <c r="A2260" s="87" t="s">
        <v>2</v>
      </c>
      <c r="B2260" s="87">
        <v>88248</v>
      </c>
      <c r="C2260" s="278" t="s">
        <v>1947</v>
      </c>
      <c r="D2260" s="89" t="s">
        <v>137</v>
      </c>
      <c r="E2260" s="88">
        <v>3.0640000000000001</v>
      </c>
      <c r="F2260" s="89">
        <v>21.45</v>
      </c>
      <c r="G2260" s="89">
        <v>65.722799999999992</v>
      </c>
    </row>
    <row r="2261" spans="1:7" ht="24">
      <c r="A2261" s="87" t="s">
        <v>2</v>
      </c>
      <c r="B2261" s="87">
        <v>88267</v>
      </c>
      <c r="C2261" s="278" t="s">
        <v>1949</v>
      </c>
      <c r="D2261" s="89" t="s">
        <v>137</v>
      </c>
      <c r="E2261" s="88">
        <v>3.0640000000000001</v>
      </c>
      <c r="F2261" s="89">
        <v>26.33</v>
      </c>
      <c r="G2261" s="89">
        <v>80.675119999999993</v>
      </c>
    </row>
    <row r="2262" spans="1:7">
      <c r="A2262" s="87" t="s">
        <v>2</v>
      </c>
      <c r="B2262" s="87">
        <v>88317</v>
      </c>
      <c r="C2262" s="278" t="s">
        <v>1970</v>
      </c>
      <c r="D2262" s="89" t="s">
        <v>137</v>
      </c>
      <c r="E2262" s="88">
        <v>3.0640000000000001</v>
      </c>
      <c r="F2262" s="89">
        <v>27.83</v>
      </c>
      <c r="G2262" s="89">
        <v>85.271119999999996</v>
      </c>
    </row>
    <row r="2263" spans="1:7">
      <c r="A2263" s="832" t="s">
        <v>1908</v>
      </c>
      <c r="B2263" s="833"/>
      <c r="C2263" s="833"/>
      <c r="D2263" s="833"/>
      <c r="E2263" s="833"/>
      <c r="F2263" s="834"/>
      <c r="G2263" s="90">
        <v>231.66904</v>
      </c>
    </row>
    <row r="2264" spans="1:7">
      <c r="A2264" s="91"/>
      <c r="B2264" s="92"/>
      <c r="C2264" s="162"/>
      <c r="D2264" s="92"/>
      <c r="E2264" s="97"/>
      <c r="F2264" s="98"/>
      <c r="G2264" s="96"/>
    </row>
    <row r="2265" spans="1:7">
      <c r="A2265" s="835" t="s">
        <v>1912</v>
      </c>
      <c r="B2265" s="836"/>
      <c r="C2265" s="836"/>
      <c r="D2265" s="836"/>
      <c r="E2265" s="836"/>
      <c r="F2265" s="836"/>
      <c r="G2265" s="837"/>
    </row>
    <row r="2266" spans="1:7">
      <c r="A2266" s="84" t="s">
        <v>1903</v>
      </c>
      <c r="B2266" s="84" t="s">
        <v>131</v>
      </c>
      <c r="C2266" s="160" t="s">
        <v>1904</v>
      </c>
      <c r="D2266" s="84" t="s">
        <v>167</v>
      </c>
      <c r="E2266" s="85" t="s">
        <v>1905</v>
      </c>
      <c r="F2266" s="86" t="s">
        <v>1906</v>
      </c>
      <c r="G2266" s="86" t="s">
        <v>1907</v>
      </c>
    </row>
    <row r="2267" spans="1:7">
      <c r="A2267" s="87"/>
      <c r="B2267" s="87"/>
      <c r="C2267" s="278" t="s">
        <v>34</v>
      </c>
      <c r="D2267" s="89" t="s">
        <v>34</v>
      </c>
      <c r="E2267" s="88"/>
      <c r="F2267" s="89" t="s">
        <v>34</v>
      </c>
      <c r="G2267" s="89" t="s">
        <v>34</v>
      </c>
    </row>
    <row r="2268" spans="1:7">
      <c r="A2268" s="87"/>
      <c r="B2268" s="87"/>
      <c r="C2268" s="278" t="s">
        <v>34</v>
      </c>
      <c r="D2268" s="89" t="s">
        <v>34</v>
      </c>
      <c r="E2268" s="88"/>
      <c r="F2268" s="89" t="s">
        <v>34</v>
      </c>
      <c r="G2268" s="89" t="s">
        <v>34</v>
      </c>
    </row>
    <row r="2269" spans="1:7">
      <c r="A2269" s="832" t="s">
        <v>1908</v>
      </c>
      <c r="B2269" s="833" t="s">
        <v>1908</v>
      </c>
      <c r="C2269" s="833"/>
      <c r="D2269" s="833"/>
      <c r="E2269" s="833"/>
      <c r="F2269" s="834"/>
      <c r="G2269" s="90" t="s">
        <v>34</v>
      </c>
    </row>
    <row r="2270" spans="1:7" ht="13.5" thickBot="1">
      <c r="A2270" s="91"/>
      <c r="B2270" s="92"/>
      <c r="C2270" s="163"/>
      <c r="D2270" s="99"/>
      <c r="E2270" s="100"/>
      <c r="F2270" s="101"/>
      <c r="G2270" s="102"/>
    </row>
    <row r="2271" spans="1:7" ht="13.5" thickBot="1">
      <c r="A2271" s="838" t="s">
        <v>1259</v>
      </c>
      <c r="B2271" s="839"/>
      <c r="C2271" s="839"/>
      <c r="D2271" s="839"/>
      <c r="E2271" s="839"/>
      <c r="F2271" s="840"/>
      <c r="G2271" s="103">
        <f>G2263+G2256</f>
        <v>760.67439999999999</v>
      </c>
    </row>
    <row r="2274" spans="1:11">
      <c r="A2274" s="237" t="s">
        <v>131</v>
      </c>
      <c r="B2274" s="190" t="s">
        <v>27</v>
      </c>
      <c r="C2274" s="841" t="s">
        <v>1281</v>
      </c>
      <c r="D2274" s="841"/>
      <c r="E2274" s="841"/>
      <c r="F2274" s="841"/>
      <c r="G2274" s="81" t="s">
        <v>127</v>
      </c>
      <c r="I2274" s="483" t="s">
        <v>1901</v>
      </c>
      <c r="J2274" s="80"/>
      <c r="K2274" s="80"/>
    </row>
    <row r="2275" spans="1:11" ht="50.1" customHeight="1">
      <c r="A2275" s="179" t="s">
        <v>614</v>
      </c>
      <c r="B2275" s="82"/>
      <c r="C2275" s="830" t="s">
        <v>615</v>
      </c>
      <c r="D2275" s="831"/>
      <c r="E2275" s="831"/>
      <c r="F2275" s="186">
        <f>G2295</f>
        <v>494.67830000000004</v>
      </c>
      <c r="G2275" s="83" t="s">
        <v>167</v>
      </c>
      <c r="I2275" s="481"/>
      <c r="J2275" s="272"/>
      <c r="K2275" s="272"/>
    </row>
    <row r="2276" spans="1:11">
      <c r="A2276" s="818" t="s">
        <v>1902</v>
      </c>
      <c r="B2276" s="819"/>
      <c r="C2276" s="819"/>
      <c r="D2276" s="819"/>
      <c r="E2276" s="819"/>
      <c r="F2276" s="819"/>
      <c r="G2276" s="820"/>
    </row>
    <row r="2277" spans="1:11">
      <c r="A2277" s="84" t="s">
        <v>1903</v>
      </c>
      <c r="B2277" s="84" t="s">
        <v>131</v>
      </c>
      <c r="C2277" s="160" t="s">
        <v>1904</v>
      </c>
      <c r="D2277" s="84" t="s">
        <v>167</v>
      </c>
      <c r="E2277" s="85" t="s">
        <v>1905</v>
      </c>
      <c r="F2277" s="86" t="s">
        <v>1906</v>
      </c>
      <c r="G2277" s="86" t="s">
        <v>1907</v>
      </c>
    </row>
    <row r="2278" spans="1:11" ht="36">
      <c r="A2278" s="87" t="s">
        <v>1917</v>
      </c>
      <c r="B2278" s="87" t="s">
        <v>2050</v>
      </c>
      <c r="C2278" s="278" t="s">
        <v>615</v>
      </c>
      <c r="D2278" s="89" t="s">
        <v>167</v>
      </c>
      <c r="E2278" s="88">
        <v>1</v>
      </c>
      <c r="F2278" s="89">
        <f>'Mapa Cotações'!M89</f>
        <v>314.66000000000003</v>
      </c>
      <c r="G2278" s="89">
        <f>F2278*E2278</f>
        <v>314.66000000000003</v>
      </c>
    </row>
    <row r="2279" spans="1:11" ht="24">
      <c r="A2279" s="87" t="s">
        <v>2</v>
      </c>
      <c r="B2279" s="87">
        <v>11002</v>
      </c>
      <c r="C2279" s="278" t="s">
        <v>2048</v>
      </c>
      <c r="D2279" s="89" t="s">
        <v>2049</v>
      </c>
      <c r="E2279" s="88">
        <v>0.11699999999999999</v>
      </c>
      <c r="F2279" s="89">
        <v>53.56</v>
      </c>
      <c r="G2279" s="89">
        <v>6.2665199999999999</v>
      </c>
    </row>
    <row r="2280" spans="1:11">
      <c r="A2280" s="832" t="s">
        <v>1908</v>
      </c>
      <c r="B2280" s="833"/>
      <c r="C2280" s="833"/>
      <c r="D2280" s="833"/>
      <c r="E2280" s="833"/>
      <c r="F2280" s="834"/>
      <c r="G2280" s="90">
        <f>SUM(G2278:G2279)</f>
        <v>320.92652000000004</v>
      </c>
    </row>
    <row r="2281" spans="1:11">
      <c r="A2281" s="91"/>
      <c r="B2281" s="92"/>
      <c r="C2281" s="161"/>
      <c r="D2281" s="93"/>
      <c r="E2281" s="94"/>
      <c r="F2281" s="95"/>
      <c r="G2281" s="96"/>
    </row>
    <row r="2282" spans="1:11">
      <c r="A2282" s="835" t="s">
        <v>1909</v>
      </c>
      <c r="B2282" s="836"/>
      <c r="C2282" s="836"/>
      <c r="D2282" s="836"/>
      <c r="E2282" s="836"/>
      <c r="F2282" s="836"/>
      <c r="G2282" s="837"/>
    </row>
    <row r="2283" spans="1:11">
      <c r="A2283" s="84" t="s">
        <v>1903</v>
      </c>
      <c r="B2283" s="84" t="s">
        <v>131</v>
      </c>
      <c r="C2283" s="160" t="s">
        <v>1904</v>
      </c>
      <c r="D2283" s="84" t="s">
        <v>167</v>
      </c>
      <c r="E2283" s="85" t="s">
        <v>1905</v>
      </c>
      <c r="F2283" s="86" t="s">
        <v>1906</v>
      </c>
      <c r="G2283" s="86" t="s">
        <v>1907</v>
      </c>
    </row>
    <row r="2284" spans="1:11" ht="24">
      <c r="A2284" s="87" t="s">
        <v>2</v>
      </c>
      <c r="B2284" s="87">
        <v>88248</v>
      </c>
      <c r="C2284" s="278" t="s">
        <v>1947</v>
      </c>
      <c r="D2284" s="89" t="s">
        <v>137</v>
      </c>
      <c r="E2284" s="88">
        <v>2.298</v>
      </c>
      <c r="F2284" s="89">
        <v>21.45</v>
      </c>
      <c r="G2284" s="89">
        <v>49.292099999999998</v>
      </c>
    </row>
    <row r="2285" spans="1:11" ht="24">
      <c r="A2285" s="87" t="s">
        <v>2</v>
      </c>
      <c r="B2285" s="87">
        <v>88267</v>
      </c>
      <c r="C2285" s="278" t="s">
        <v>1949</v>
      </c>
      <c r="D2285" s="89" t="s">
        <v>137</v>
      </c>
      <c r="E2285" s="88">
        <v>2.298</v>
      </c>
      <c r="F2285" s="89">
        <v>26.33</v>
      </c>
      <c r="G2285" s="89">
        <v>60.506339999999994</v>
      </c>
    </row>
    <row r="2286" spans="1:11">
      <c r="A2286" s="87" t="s">
        <v>2</v>
      </c>
      <c r="B2286" s="87">
        <v>88317</v>
      </c>
      <c r="C2286" s="278" t="s">
        <v>1970</v>
      </c>
      <c r="D2286" s="89" t="s">
        <v>137</v>
      </c>
      <c r="E2286" s="88">
        <v>2.298</v>
      </c>
      <c r="F2286" s="89">
        <v>27.83</v>
      </c>
      <c r="G2286" s="89">
        <v>63.953339999999997</v>
      </c>
    </row>
    <row r="2287" spans="1:11">
      <c r="A2287" s="832" t="s">
        <v>1908</v>
      </c>
      <c r="B2287" s="833"/>
      <c r="C2287" s="833"/>
      <c r="D2287" s="833"/>
      <c r="E2287" s="833"/>
      <c r="F2287" s="834"/>
      <c r="G2287" s="90">
        <f>SUM(G2284:G2286)</f>
        <v>173.75178</v>
      </c>
    </row>
    <row r="2288" spans="1:11">
      <c r="A2288" s="91"/>
      <c r="B2288" s="92"/>
      <c r="C2288" s="162"/>
      <c r="D2288" s="92"/>
      <c r="E2288" s="97"/>
      <c r="F2288" s="98"/>
      <c r="G2288" s="96"/>
    </row>
    <row r="2289" spans="1:11">
      <c r="A2289" s="835" t="s">
        <v>1912</v>
      </c>
      <c r="B2289" s="836"/>
      <c r="C2289" s="836"/>
      <c r="D2289" s="836"/>
      <c r="E2289" s="836"/>
      <c r="F2289" s="836"/>
      <c r="G2289" s="837"/>
    </row>
    <row r="2290" spans="1:11">
      <c r="A2290" s="84" t="s">
        <v>1903</v>
      </c>
      <c r="B2290" s="84" t="s">
        <v>131</v>
      </c>
      <c r="C2290" s="160" t="s">
        <v>1904</v>
      </c>
      <c r="D2290" s="84" t="s">
        <v>167</v>
      </c>
      <c r="E2290" s="85" t="s">
        <v>1905</v>
      </c>
      <c r="F2290" s="86" t="s">
        <v>1906</v>
      </c>
      <c r="G2290" s="86" t="s">
        <v>1907</v>
      </c>
    </row>
    <row r="2291" spans="1:11">
      <c r="A2291" s="87"/>
      <c r="B2291" s="87"/>
      <c r="C2291" s="278" t="s">
        <v>34</v>
      </c>
      <c r="D2291" s="89" t="s">
        <v>34</v>
      </c>
      <c r="E2291" s="88"/>
      <c r="F2291" s="89" t="s">
        <v>34</v>
      </c>
      <c r="G2291" s="89" t="s">
        <v>34</v>
      </c>
    </row>
    <row r="2292" spans="1:11">
      <c r="A2292" s="87"/>
      <c r="B2292" s="87"/>
      <c r="C2292" s="278" t="s">
        <v>34</v>
      </c>
      <c r="D2292" s="89" t="s">
        <v>34</v>
      </c>
      <c r="E2292" s="88"/>
      <c r="F2292" s="89" t="s">
        <v>34</v>
      </c>
      <c r="G2292" s="89" t="s">
        <v>34</v>
      </c>
    </row>
    <row r="2293" spans="1:11">
      <c r="A2293" s="832" t="s">
        <v>1908</v>
      </c>
      <c r="B2293" s="833" t="s">
        <v>1908</v>
      </c>
      <c r="C2293" s="833"/>
      <c r="D2293" s="833"/>
      <c r="E2293" s="833"/>
      <c r="F2293" s="834"/>
      <c r="G2293" s="90" t="s">
        <v>34</v>
      </c>
    </row>
    <row r="2294" spans="1:11" ht="13.5" thickBot="1">
      <c r="A2294" s="91"/>
      <c r="B2294" s="92"/>
      <c r="C2294" s="163"/>
      <c r="D2294" s="99"/>
      <c r="E2294" s="100"/>
      <c r="F2294" s="101"/>
      <c r="G2294" s="102"/>
    </row>
    <row r="2295" spans="1:11" ht="13.5" thickBot="1">
      <c r="A2295" s="838" t="s">
        <v>1259</v>
      </c>
      <c r="B2295" s="839"/>
      <c r="C2295" s="839"/>
      <c r="D2295" s="839"/>
      <c r="E2295" s="839"/>
      <c r="F2295" s="840"/>
      <c r="G2295" s="103">
        <f>G2287+G2280</f>
        <v>494.67830000000004</v>
      </c>
    </row>
    <row r="2298" spans="1:11">
      <c r="A2298" s="237" t="s">
        <v>131</v>
      </c>
      <c r="B2298" s="190" t="s">
        <v>27</v>
      </c>
      <c r="C2298" s="841" t="s">
        <v>1281</v>
      </c>
      <c r="D2298" s="841"/>
      <c r="E2298" s="841"/>
      <c r="F2298" s="841"/>
      <c r="G2298" s="81" t="s">
        <v>127</v>
      </c>
      <c r="I2298" s="480" t="s">
        <v>1901</v>
      </c>
      <c r="J2298" s="80"/>
      <c r="K2298" s="80"/>
    </row>
    <row r="2299" spans="1:11" ht="50.1" customHeight="1">
      <c r="A2299" s="179" t="s">
        <v>617</v>
      </c>
      <c r="B2299" s="82"/>
      <c r="C2299" s="830" t="s">
        <v>618</v>
      </c>
      <c r="D2299" s="831"/>
      <c r="E2299" s="831"/>
      <c r="F2299" s="186">
        <f>G2319</f>
        <v>614.70524999999998</v>
      </c>
      <c r="G2299" s="83" t="s">
        <v>167</v>
      </c>
      <c r="I2299" s="481"/>
      <c r="J2299" s="272"/>
      <c r="K2299" s="272"/>
    </row>
    <row r="2300" spans="1:11">
      <c r="A2300" s="818" t="s">
        <v>1902</v>
      </c>
      <c r="B2300" s="819"/>
      <c r="C2300" s="819"/>
      <c r="D2300" s="819"/>
      <c r="E2300" s="819"/>
      <c r="F2300" s="819"/>
      <c r="G2300" s="820"/>
    </row>
    <row r="2301" spans="1:11">
      <c r="A2301" s="84" t="s">
        <v>1903</v>
      </c>
      <c r="B2301" s="84" t="s">
        <v>131</v>
      </c>
      <c r="C2301" s="160" t="s">
        <v>1904</v>
      </c>
      <c r="D2301" s="84" t="s">
        <v>167</v>
      </c>
      <c r="E2301" s="85" t="s">
        <v>1905</v>
      </c>
      <c r="F2301" s="86" t="s">
        <v>1906</v>
      </c>
      <c r="G2301" s="86" t="s">
        <v>1907</v>
      </c>
    </row>
    <row r="2302" spans="1:11" ht="36">
      <c r="A2302" s="87" t="s">
        <v>1917</v>
      </c>
      <c r="B2302" s="87" t="s">
        <v>2051</v>
      </c>
      <c r="C2302" s="278" t="s">
        <v>618</v>
      </c>
      <c r="D2302" s="89" t="s">
        <v>167</v>
      </c>
      <c r="E2302" s="88">
        <v>1</v>
      </c>
      <c r="F2302" s="89">
        <f>'Mapa Cotações'!M90</f>
        <v>464.69</v>
      </c>
      <c r="G2302" s="89">
        <f>F2302*E2302</f>
        <v>464.69</v>
      </c>
    </row>
    <row r="2303" spans="1:11" ht="24">
      <c r="A2303" s="87" t="s">
        <v>2</v>
      </c>
      <c r="B2303" s="87">
        <v>11002</v>
      </c>
      <c r="C2303" s="278" t="s">
        <v>2048</v>
      </c>
      <c r="D2303" s="89" t="s">
        <v>2049</v>
      </c>
      <c r="E2303" s="88">
        <v>9.7500000000000003E-2</v>
      </c>
      <c r="F2303" s="89">
        <v>53.56</v>
      </c>
      <c r="G2303" s="89">
        <v>5.2221000000000002</v>
      </c>
    </row>
    <row r="2304" spans="1:11">
      <c r="A2304" s="832" t="s">
        <v>1908</v>
      </c>
      <c r="B2304" s="833"/>
      <c r="C2304" s="833"/>
      <c r="D2304" s="833"/>
      <c r="E2304" s="833"/>
      <c r="F2304" s="834"/>
      <c r="G2304" s="90">
        <f>SUM(G2302:G2303)</f>
        <v>469.91210000000001</v>
      </c>
    </row>
    <row r="2305" spans="1:7">
      <c r="A2305" s="91"/>
      <c r="B2305" s="92"/>
      <c r="C2305" s="161"/>
      <c r="D2305" s="93"/>
      <c r="E2305" s="94"/>
      <c r="F2305" s="95"/>
      <c r="G2305" s="96"/>
    </row>
    <row r="2306" spans="1:7">
      <c r="A2306" s="835" t="s">
        <v>1909</v>
      </c>
      <c r="B2306" s="836"/>
      <c r="C2306" s="836"/>
      <c r="D2306" s="836"/>
      <c r="E2306" s="836"/>
      <c r="F2306" s="836"/>
      <c r="G2306" s="837"/>
    </row>
    <row r="2307" spans="1:7">
      <c r="A2307" s="84" t="s">
        <v>1903</v>
      </c>
      <c r="B2307" s="84" t="s">
        <v>131</v>
      </c>
      <c r="C2307" s="160" t="s">
        <v>1904</v>
      </c>
      <c r="D2307" s="84" t="s">
        <v>167</v>
      </c>
      <c r="E2307" s="85" t="s">
        <v>1905</v>
      </c>
      <c r="F2307" s="86" t="s">
        <v>1906</v>
      </c>
      <c r="G2307" s="86" t="s">
        <v>1907</v>
      </c>
    </row>
    <row r="2308" spans="1:7" ht="24">
      <c r="A2308" s="87" t="s">
        <v>2</v>
      </c>
      <c r="B2308" s="87">
        <v>88248</v>
      </c>
      <c r="C2308" s="278" t="s">
        <v>1947</v>
      </c>
      <c r="D2308" s="89" t="s">
        <v>137</v>
      </c>
      <c r="E2308" s="88">
        <v>1.915</v>
      </c>
      <c r="F2308" s="89">
        <v>21.45</v>
      </c>
      <c r="G2308" s="89">
        <v>41.076749999999997</v>
      </c>
    </row>
    <row r="2309" spans="1:7" ht="24">
      <c r="A2309" s="87" t="s">
        <v>2</v>
      </c>
      <c r="B2309" s="87">
        <v>88267</v>
      </c>
      <c r="C2309" s="278" t="s">
        <v>1949</v>
      </c>
      <c r="D2309" s="89" t="s">
        <v>137</v>
      </c>
      <c r="E2309" s="88">
        <v>1.915</v>
      </c>
      <c r="F2309" s="89">
        <v>26.33</v>
      </c>
      <c r="G2309" s="89">
        <v>50.421949999999995</v>
      </c>
    </row>
    <row r="2310" spans="1:7">
      <c r="A2310" s="87" t="s">
        <v>2</v>
      </c>
      <c r="B2310" s="87">
        <v>88317</v>
      </c>
      <c r="C2310" s="278" t="s">
        <v>1970</v>
      </c>
      <c r="D2310" s="89" t="s">
        <v>137</v>
      </c>
      <c r="E2310" s="88">
        <v>1.915</v>
      </c>
      <c r="F2310" s="89">
        <v>27.83</v>
      </c>
      <c r="G2310" s="89">
        <v>53.294449999999998</v>
      </c>
    </row>
    <row r="2311" spans="1:7">
      <c r="A2311" s="832" t="s">
        <v>1908</v>
      </c>
      <c r="B2311" s="833"/>
      <c r="C2311" s="833"/>
      <c r="D2311" s="833"/>
      <c r="E2311" s="833"/>
      <c r="F2311" s="834"/>
      <c r="G2311" s="90">
        <f>SUM(G2308:G2310)</f>
        <v>144.79314999999997</v>
      </c>
    </row>
    <row r="2312" spans="1:7">
      <c r="A2312" s="91"/>
      <c r="B2312" s="92"/>
      <c r="C2312" s="162"/>
      <c r="D2312" s="92"/>
      <c r="E2312" s="97"/>
      <c r="F2312" s="98"/>
      <c r="G2312" s="96"/>
    </row>
    <row r="2313" spans="1:7">
      <c r="A2313" s="835" t="s">
        <v>1912</v>
      </c>
      <c r="B2313" s="836"/>
      <c r="C2313" s="836"/>
      <c r="D2313" s="836"/>
      <c r="E2313" s="836"/>
      <c r="F2313" s="836"/>
      <c r="G2313" s="837"/>
    </row>
    <row r="2314" spans="1:7">
      <c r="A2314" s="84" t="s">
        <v>1903</v>
      </c>
      <c r="B2314" s="84" t="s">
        <v>131</v>
      </c>
      <c r="C2314" s="160" t="s">
        <v>1904</v>
      </c>
      <c r="D2314" s="84" t="s">
        <v>167</v>
      </c>
      <c r="E2314" s="85" t="s">
        <v>1905</v>
      </c>
      <c r="F2314" s="86" t="s">
        <v>1906</v>
      </c>
      <c r="G2314" s="86" t="s">
        <v>1907</v>
      </c>
    </row>
    <row r="2315" spans="1:7">
      <c r="A2315" s="87"/>
      <c r="B2315" s="87"/>
      <c r="C2315" s="278" t="s">
        <v>34</v>
      </c>
      <c r="D2315" s="89" t="s">
        <v>34</v>
      </c>
      <c r="E2315" s="88"/>
      <c r="F2315" s="89" t="s">
        <v>34</v>
      </c>
      <c r="G2315" s="89" t="s">
        <v>34</v>
      </c>
    </row>
    <row r="2316" spans="1:7">
      <c r="A2316" s="87"/>
      <c r="B2316" s="87"/>
      <c r="C2316" s="278" t="s">
        <v>34</v>
      </c>
      <c r="D2316" s="89" t="s">
        <v>34</v>
      </c>
      <c r="E2316" s="88"/>
      <c r="F2316" s="89" t="s">
        <v>34</v>
      </c>
      <c r="G2316" s="89" t="s">
        <v>34</v>
      </c>
    </row>
    <row r="2317" spans="1:7">
      <c r="A2317" s="832" t="s">
        <v>1908</v>
      </c>
      <c r="B2317" s="833" t="s">
        <v>1908</v>
      </c>
      <c r="C2317" s="833"/>
      <c r="D2317" s="833"/>
      <c r="E2317" s="833"/>
      <c r="F2317" s="834"/>
      <c r="G2317" s="90" t="s">
        <v>34</v>
      </c>
    </row>
    <row r="2318" spans="1:7" ht="13.5" thickBot="1">
      <c r="A2318" s="91"/>
      <c r="B2318" s="92"/>
      <c r="C2318" s="163"/>
      <c r="D2318" s="99"/>
      <c r="E2318" s="100"/>
      <c r="F2318" s="101"/>
      <c r="G2318" s="102"/>
    </row>
    <row r="2319" spans="1:7" ht="13.5" thickBot="1">
      <c r="A2319" s="838" t="s">
        <v>1259</v>
      </c>
      <c r="B2319" s="839"/>
      <c r="C2319" s="839"/>
      <c r="D2319" s="839"/>
      <c r="E2319" s="839"/>
      <c r="F2319" s="840"/>
      <c r="G2319" s="103">
        <f>G2311+G2304</f>
        <v>614.70524999999998</v>
      </c>
    </row>
    <row r="2322" spans="1:11">
      <c r="A2322" s="237" t="s">
        <v>131</v>
      </c>
      <c r="B2322" s="190" t="s">
        <v>27</v>
      </c>
      <c r="C2322" s="841" t="s">
        <v>1281</v>
      </c>
      <c r="D2322" s="841"/>
      <c r="E2322" s="841"/>
      <c r="F2322" s="841"/>
      <c r="G2322" s="81" t="s">
        <v>127</v>
      </c>
      <c r="I2322" s="480" t="s">
        <v>1901</v>
      </c>
      <c r="J2322" s="80"/>
      <c r="K2322" s="80"/>
    </row>
    <row r="2323" spans="1:11" ht="50.1" customHeight="1">
      <c r="A2323" s="179" t="s">
        <v>620</v>
      </c>
      <c r="B2323" s="82"/>
      <c r="C2323" s="830" t="s">
        <v>621</v>
      </c>
      <c r="D2323" s="831"/>
      <c r="E2323" s="831"/>
      <c r="F2323" s="186">
        <f>G2343</f>
        <v>248.03220000000002</v>
      </c>
      <c r="G2323" s="83" t="s">
        <v>167</v>
      </c>
      <c r="I2323" s="481"/>
      <c r="J2323" s="272"/>
      <c r="K2323" s="272"/>
    </row>
    <row r="2324" spans="1:11">
      <c r="A2324" s="818" t="s">
        <v>1902</v>
      </c>
      <c r="B2324" s="819"/>
      <c r="C2324" s="819"/>
      <c r="D2324" s="819"/>
      <c r="E2324" s="819"/>
      <c r="F2324" s="819"/>
      <c r="G2324" s="820"/>
    </row>
    <row r="2325" spans="1:11">
      <c r="A2325" s="84" t="s">
        <v>1903</v>
      </c>
      <c r="B2325" s="84" t="s">
        <v>131</v>
      </c>
      <c r="C2325" s="160" t="s">
        <v>1904</v>
      </c>
      <c r="D2325" s="84" t="s">
        <v>167</v>
      </c>
      <c r="E2325" s="85" t="s">
        <v>1905</v>
      </c>
      <c r="F2325" s="86" t="s">
        <v>1906</v>
      </c>
      <c r="G2325" s="86" t="s">
        <v>1907</v>
      </c>
    </row>
    <row r="2326" spans="1:11" ht="36">
      <c r="A2326" s="87" t="s">
        <v>1917</v>
      </c>
      <c r="B2326" s="87" t="s">
        <v>2052</v>
      </c>
      <c r="C2326" s="278" t="s">
        <v>621</v>
      </c>
      <c r="D2326" s="89" t="s">
        <v>167</v>
      </c>
      <c r="E2326" s="88">
        <v>1</v>
      </c>
      <c r="F2326" s="89">
        <f>'Mapa Cotações'!M91</f>
        <v>128.02000000000001</v>
      </c>
      <c r="G2326" s="89">
        <f>F2326*E2326</f>
        <v>128.02000000000001</v>
      </c>
    </row>
    <row r="2327" spans="1:11" ht="24">
      <c r="A2327" s="87" t="s">
        <v>2</v>
      </c>
      <c r="B2327" s="87">
        <v>11002</v>
      </c>
      <c r="C2327" s="278" t="s">
        <v>2048</v>
      </c>
      <c r="D2327" s="89" t="s">
        <v>2049</v>
      </c>
      <c r="E2327" s="88">
        <v>7.8E-2</v>
      </c>
      <c r="F2327" s="89">
        <v>53.56</v>
      </c>
      <c r="G2327" s="89">
        <v>4.1776800000000005</v>
      </c>
    </row>
    <row r="2328" spans="1:11">
      <c r="A2328" s="832" t="s">
        <v>1908</v>
      </c>
      <c r="B2328" s="833"/>
      <c r="C2328" s="833"/>
      <c r="D2328" s="833"/>
      <c r="E2328" s="833"/>
      <c r="F2328" s="834"/>
      <c r="G2328" s="90">
        <f>SUM(G2326:G2327)</f>
        <v>132.19768000000002</v>
      </c>
    </row>
    <row r="2329" spans="1:11">
      <c r="A2329" s="91"/>
      <c r="B2329" s="92"/>
      <c r="C2329" s="161"/>
      <c r="D2329" s="93"/>
      <c r="E2329" s="94"/>
      <c r="F2329" s="95"/>
      <c r="G2329" s="96"/>
    </row>
    <row r="2330" spans="1:11">
      <c r="A2330" s="835" t="s">
        <v>1909</v>
      </c>
      <c r="B2330" s="836"/>
      <c r="C2330" s="836"/>
      <c r="D2330" s="836"/>
      <c r="E2330" s="836"/>
      <c r="F2330" s="836"/>
      <c r="G2330" s="837"/>
    </row>
    <row r="2331" spans="1:11">
      <c r="A2331" s="84" t="s">
        <v>1903</v>
      </c>
      <c r="B2331" s="84" t="s">
        <v>131</v>
      </c>
      <c r="C2331" s="160" t="s">
        <v>1904</v>
      </c>
      <c r="D2331" s="84" t="s">
        <v>167</v>
      </c>
      <c r="E2331" s="85" t="s">
        <v>1905</v>
      </c>
      <c r="F2331" s="86" t="s">
        <v>1906</v>
      </c>
      <c r="G2331" s="86" t="s">
        <v>1907</v>
      </c>
    </row>
    <row r="2332" spans="1:11" ht="24">
      <c r="A2332" s="87" t="s">
        <v>2</v>
      </c>
      <c r="B2332" s="87">
        <v>88248</v>
      </c>
      <c r="C2332" s="278" t="s">
        <v>1947</v>
      </c>
      <c r="D2332" s="89" t="s">
        <v>137</v>
      </c>
      <c r="E2332" s="88">
        <v>1.532</v>
      </c>
      <c r="F2332" s="89">
        <v>21.45</v>
      </c>
      <c r="G2332" s="89">
        <v>32.861399999999996</v>
      </c>
    </row>
    <row r="2333" spans="1:11" ht="24">
      <c r="A2333" s="87" t="s">
        <v>2</v>
      </c>
      <c r="B2333" s="87">
        <v>88267</v>
      </c>
      <c r="C2333" s="278" t="s">
        <v>1949</v>
      </c>
      <c r="D2333" s="89" t="s">
        <v>137</v>
      </c>
      <c r="E2333" s="88">
        <v>1.532</v>
      </c>
      <c r="F2333" s="89">
        <v>26.33</v>
      </c>
      <c r="G2333" s="89">
        <v>40.337559999999996</v>
      </c>
    </row>
    <row r="2334" spans="1:11">
      <c r="A2334" s="87" t="s">
        <v>2</v>
      </c>
      <c r="B2334" s="87">
        <v>88317</v>
      </c>
      <c r="C2334" s="278" t="s">
        <v>1970</v>
      </c>
      <c r="D2334" s="89" t="s">
        <v>137</v>
      </c>
      <c r="E2334" s="88">
        <v>1.532</v>
      </c>
      <c r="F2334" s="89">
        <v>27.83</v>
      </c>
      <c r="G2334" s="89">
        <v>42.635559999999998</v>
      </c>
    </row>
    <row r="2335" spans="1:11">
      <c r="A2335" s="832" t="s">
        <v>1908</v>
      </c>
      <c r="B2335" s="833"/>
      <c r="C2335" s="833"/>
      <c r="D2335" s="833"/>
      <c r="E2335" s="833"/>
      <c r="F2335" s="834"/>
      <c r="G2335" s="90">
        <f>SUM(G2332:G2334)</f>
        <v>115.83452</v>
      </c>
    </row>
    <row r="2336" spans="1:11">
      <c r="A2336" s="91"/>
      <c r="B2336" s="92"/>
      <c r="C2336" s="162"/>
      <c r="D2336" s="92"/>
      <c r="E2336" s="97"/>
      <c r="F2336" s="98"/>
      <c r="G2336" s="96"/>
    </row>
    <row r="2337" spans="1:11">
      <c r="A2337" s="835" t="s">
        <v>1912</v>
      </c>
      <c r="B2337" s="836"/>
      <c r="C2337" s="836"/>
      <c r="D2337" s="836"/>
      <c r="E2337" s="836"/>
      <c r="F2337" s="836"/>
      <c r="G2337" s="837"/>
    </row>
    <row r="2338" spans="1:11">
      <c r="A2338" s="84" t="s">
        <v>1903</v>
      </c>
      <c r="B2338" s="84" t="s">
        <v>131</v>
      </c>
      <c r="C2338" s="160" t="s">
        <v>1904</v>
      </c>
      <c r="D2338" s="84" t="s">
        <v>167</v>
      </c>
      <c r="E2338" s="85" t="s">
        <v>1905</v>
      </c>
      <c r="F2338" s="86" t="s">
        <v>1906</v>
      </c>
      <c r="G2338" s="86" t="s">
        <v>1907</v>
      </c>
    </row>
    <row r="2339" spans="1:11">
      <c r="A2339" s="87"/>
      <c r="B2339" s="87"/>
      <c r="C2339" s="278" t="s">
        <v>34</v>
      </c>
      <c r="D2339" s="89" t="s">
        <v>34</v>
      </c>
      <c r="E2339" s="88"/>
      <c r="F2339" s="89" t="s">
        <v>34</v>
      </c>
      <c r="G2339" s="89" t="s">
        <v>34</v>
      </c>
    </row>
    <row r="2340" spans="1:11">
      <c r="A2340" s="87"/>
      <c r="B2340" s="87"/>
      <c r="C2340" s="278" t="s">
        <v>34</v>
      </c>
      <c r="D2340" s="89" t="s">
        <v>34</v>
      </c>
      <c r="E2340" s="88"/>
      <c r="F2340" s="89" t="s">
        <v>34</v>
      </c>
      <c r="G2340" s="89" t="s">
        <v>34</v>
      </c>
    </row>
    <row r="2341" spans="1:11">
      <c r="A2341" s="832" t="s">
        <v>1908</v>
      </c>
      <c r="B2341" s="833" t="s">
        <v>1908</v>
      </c>
      <c r="C2341" s="833"/>
      <c r="D2341" s="833"/>
      <c r="E2341" s="833"/>
      <c r="F2341" s="834"/>
      <c r="G2341" s="90" t="s">
        <v>34</v>
      </c>
    </row>
    <row r="2342" spans="1:11" ht="13.5" thickBot="1">
      <c r="A2342" s="91"/>
      <c r="B2342" s="92"/>
      <c r="C2342" s="163"/>
      <c r="D2342" s="99"/>
      <c r="E2342" s="100"/>
      <c r="F2342" s="101"/>
      <c r="G2342" s="102"/>
    </row>
    <row r="2343" spans="1:11" ht="13.5" thickBot="1">
      <c r="A2343" s="838" t="s">
        <v>1259</v>
      </c>
      <c r="B2343" s="839"/>
      <c r="C2343" s="839"/>
      <c r="D2343" s="839"/>
      <c r="E2343" s="839"/>
      <c r="F2343" s="840"/>
      <c r="G2343" s="103">
        <f>G2335+G2328</f>
        <v>248.03220000000002</v>
      </c>
    </row>
    <row r="2346" spans="1:11">
      <c r="A2346" s="237" t="s">
        <v>131</v>
      </c>
      <c r="B2346" s="190" t="s">
        <v>27</v>
      </c>
      <c r="C2346" s="841" t="s">
        <v>1281</v>
      </c>
      <c r="D2346" s="841"/>
      <c r="E2346" s="841"/>
      <c r="F2346" s="841"/>
      <c r="G2346" s="81" t="s">
        <v>127</v>
      </c>
      <c r="I2346" s="480" t="s">
        <v>1901</v>
      </c>
      <c r="J2346" s="80"/>
      <c r="K2346" s="80"/>
    </row>
    <row r="2347" spans="1:11" ht="50.1" customHeight="1">
      <c r="A2347" s="179" t="s">
        <v>625</v>
      </c>
      <c r="B2347" s="82"/>
      <c r="C2347" s="830" t="s">
        <v>626</v>
      </c>
      <c r="D2347" s="831"/>
      <c r="E2347" s="831"/>
      <c r="F2347" s="186">
        <f>G2367</f>
        <v>651.02440000000001</v>
      </c>
      <c r="G2347" s="83" t="s">
        <v>167</v>
      </c>
      <c r="I2347" s="481"/>
      <c r="J2347" s="272"/>
      <c r="K2347" s="272"/>
    </row>
    <row r="2348" spans="1:11">
      <c r="A2348" s="818" t="s">
        <v>1902</v>
      </c>
      <c r="B2348" s="819"/>
      <c r="C2348" s="819"/>
      <c r="D2348" s="819"/>
      <c r="E2348" s="819"/>
      <c r="F2348" s="819"/>
      <c r="G2348" s="820"/>
    </row>
    <row r="2349" spans="1:11">
      <c r="A2349" s="84" t="s">
        <v>1903</v>
      </c>
      <c r="B2349" s="84" t="s">
        <v>131</v>
      </c>
      <c r="C2349" s="160" t="s">
        <v>1904</v>
      </c>
      <c r="D2349" s="84" t="s">
        <v>167</v>
      </c>
      <c r="E2349" s="85" t="s">
        <v>1905</v>
      </c>
      <c r="F2349" s="86" t="s">
        <v>1906</v>
      </c>
      <c r="G2349" s="86" t="s">
        <v>1907</v>
      </c>
    </row>
    <row r="2350" spans="1:11" ht="36">
      <c r="A2350" s="87" t="s">
        <v>1917</v>
      </c>
      <c r="B2350" s="87" t="s">
        <v>2053</v>
      </c>
      <c r="C2350" s="278" t="s">
        <v>626</v>
      </c>
      <c r="D2350" s="89" t="s">
        <v>167</v>
      </c>
      <c r="E2350" s="88">
        <v>1</v>
      </c>
      <c r="F2350" s="89">
        <f>'Mapa Cotações'!M92</f>
        <v>411</v>
      </c>
      <c r="G2350" s="89">
        <f>F2350*E2350</f>
        <v>411</v>
      </c>
    </row>
    <row r="2351" spans="1:11" ht="24">
      <c r="A2351" s="87" t="s">
        <v>2</v>
      </c>
      <c r="B2351" s="87">
        <v>11002</v>
      </c>
      <c r="C2351" s="278" t="s">
        <v>2048</v>
      </c>
      <c r="D2351" s="89" t="s">
        <v>2049</v>
      </c>
      <c r="E2351" s="88">
        <v>0.156</v>
      </c>
      <c r="F2351" s="89">
        <v>53.56</v>
      </c>
      <c r="G2351" s="89">
        <v>8.355360000000001</v>
      </c>
    </row>
    <row r="2352" spans="1:11">
      <c r="A2352" s="832" t="s">
        <v>1908</v>
      </c>
      <c r="B2352" s="833"/>
      <c r="C2352" s="833"/>
      <c r="D2352" s="833"/>
      <c r="E2352" s="833"/>
      <c r="F2352" s="834"/>
      <c r="G2352" s="90">
        <f>SUM(G2350:G2351)</f>
        <v>419.35536000000002</v>
      </c>
    </row>
    <row r="2353" spans="1:7">
      <c r="A2353" s="91"/>
      <c r="B2353" s="92"/>
      <c r="C2353" s="161"/>
      <c r="D2353" s="93"/>
      <c r="E2353" s="94"/>
      <c r="F2353" s="95"/>
      <c r="G2353" s="96"/>
    </row>
    <row r="2354" spans="1:7">
      <c r="A2354" s="835" t="s">
        <v>1909</v>
      </c>
      <c r="B2354" s="836"/>
      <c r="C2354" s="836"/>
      <c r="D2354" s="836"/>
      <c r="E2354" s="836"/>
      <c r="F2354" s="836"/>
      <c r="G2354" s="837"/>
    </row>
    <row r="2355" spans="1:7">
      <c r="A2355" s="84" t="s">
        <v>1903</v>
      </c>
      <c r="B2355" s="84" t="s">
        <v>131</v>
      </c>
      <c r="C2355" s="160" t="s">
        <v>1904</v>
      </c>
      <c r="D2355" s="84" t="s">
        <v>167</v>
      </c>
      <c r="E2355" s="85" t="s">
        <v>1905</v>
      </c>
      <c r="F2355" s="86" t="s">
        <v>1906</v>
      </c>
      <c r="G2355" s="86" t="s">
        <v>1907</v>
      </c>
    </row>
    <row r="2356" spans="1:7" ht="24">
      <c r="A2356" s="87" t="s">
        <v>2</v>
      </c>
      <c r="B2356" s="87">
        <v>88248</v>
      </c>
      <c r="C2356" s="278" t="s">
        <v>1947</v>
      </c>
      <c r="D2356" s="89" t="s">
        <v>137</v>
      </c>
      <c r="E2356" s="88">
        <v>3.0640000000000001</v>
      </c>
      <c r="F2356" s="89">
        <v>21.45</v>
      </c>
      <c r="G2356" s="89">
        <v>65.722799999999992</v>
      </c>
    </row>
    <row r="2357" spans="1:7" ht="24">
      <c r="A2357" s="87" t="s">
        <v>2</v>
      </c>
      <c r="B2357" s="87">
        <v>88267</v>
      </c>
      <c r="C2357" s="278" t="s">
        <v>1949</v>
      </c>
      <c r="D2357" s="89" t="s">
        <v>137</v>
      </c>
      <c r="E2357" s="88">
        <v>3.0640000000000001</v>
      </c>
      <c r="F2357" s="89">
        <v>26.33</v>
      </c>
      <c r="G2357" s="89">
        <v>80.675119999999993</v>
      </c>
    </row>
    <row r="2358" spans="1:7">
      <c r="A2358" s="87" t="s">
        <v>2</v>
      </c>
      <c r="B2358" s="87">
        <v>88317</v>
      </c>
      <c r="C2358" s="278" t="s">
        <v>1970</v>
      </c>
      <c r="D2358" s="89" t="s">
        <v>137</v>
      </c>
      <c r="E2358" s="88">
        <v>3.0640000000000001</v>
      </c>
      <c r="F2358" s="89">
        <v>27.83</v>
      </c>
      <c r="G2358" s="89">
        <v>85.271119999999996</v>
      </c>
    </row>
    <row r="2359" spans="1:7">
      <c r="A2359" s="832" t="s">
        <v>1908</v>
      </c>
      <c r="B2359" s="833"/>
      <c r="C2359" s="833"/>
      <c r="D2359" s="833"/>
      <c r="E2359" s="833"/>
      <c r="F2359" s="834"/>
      <c r="G2359" s="90">
        <f>SUM(G2356:G2358)</f>
        <v>231.66904</v>
      </c>
    </row>
    <row r="2360" spans="1:7">
      <c r="A2360" s="91"/>
      <c r="B2360" s="92"/>
      <c r="C2360" s="162"/>
      <c r="D2360" s="92"/>
      <c r="E2360" s="97"/>
      <c r="F2360" s="98"/>
      <c r="G2360" s="96"/>
    </row>
    <row r="2361" spans="1:7">
      <c r="A2361" s="835" t="s">
        <v>1912</v>
      </c>
      <c r="B2361" s="836"/>
      <c r="C2361" s="836"/>
      <c r="D2361" s="836"/>
      <c r="E2361" s="836"/>
      <c r="F2361" s="836"/>
      <c r="G2361" s="837"/>
    </row>
    <row r="2362" spans="1:7">
      <c r="A2362" s="84" t="s">
        <v>1903</v>
      </c>
      <c r="B2362" s="84" t="s">
        <v>131</v>
      </c>
      <c r="C2362" s="160" t="s">
        <v>1904</v>
      </c>
      <c r="D2362" s="84" t="s">
        <v>167</v>
      </c>
      <c r="E2362" s="85" t="s">
        <v>1905</v>
      </c>
      <c r="F2362" s="86" t="s">
        <v>1906</v>
      </c>
      <c r="G2362" s="86" t="s">
        <v>1907</v>
      </c>
    </row>
    <row r="2363" spans="1:7">
      <c r="A2363" s="87"/>
      <c r="B2363" s="87"/>
      <c r="C2363" s="278" t="s">
        <v>34</v>
      </c>
      <c r="D2363" s="89" t="s">
        <v>34</v>
      </c>
      <c r="E2363" s="88"/>
      <c r="F2363" s="89" t="s">
        <v>34</v>
      </c>
      <c r="G2363" s="89" t="s">
        <v>34</v>
      </c>
    </row>
    <row r="2364" spans="1:7">
      <c r="A2364" s="87"/>
      <c r="B2364" s="87"/>
      <c r="C2364" s="278" t="s">
        <v>34</v>
      </c>
      <c r="D2364" s="89" t="s">
        <v>34</v>
      </c>
      <c r="E2364" s="88"/>
      <c r="F2364" s="89" t="s">
        <v>34</v>
      </c>
      <c r="G2364" s="89" t="s">
        <v>34</v>
      </c>
    </row>
    <row r="2365" spans="1:7">
      <c r="A2365" s="832" t="s">
        <v>1908</v>
      </c>
      <c r="B2365" s="833" t="s">
        <v>1908</v>
      </c>
      <c r="C2365" s="833"/>
      <c r="D2365" s="833"/>
      <c r="E2365" s="833"/>
      <c r="F2365" s="834"/>
      <c r="G2365" s="90" t="s">
        <v>34</v>
      </c>
    </row>
    <row r="2366" spans="1:7" ht="13.5" thickBot="1">
      <c r="A2366" s="91"/>
      <c r="B2366" s="92"/>
      <c r="C2366" s="163"/>
      <c r="D2366" s="99"/>
      <c r="E2366" s="100"/>
      <c r="F2366" s="101"/>
      <c r="G2366" s="102"/>
    </row>
    <row r="2367" spans="1:7" ht="13.5" thickBot="1">
      <c r="A2367" s="838" t="s">
        <v>1259</v>
      </c>
      <c r="B2367" s="839"/>
      <c r="C2367" s="839"/>
      <c r="D2367" s="839"/>
      <c r="E2367" s="839"/>
      <c r="F2367" s="840"/>
      <c r="G2367" s="103">
        <f>G2359+G2352</f>
        <v>651.02440000000001</v>
      </c>
    </row>
    <row r="2370" spans="1:11">
      <c r="A2370" s="237" t="s">
        <v>131</v>
      </c>
      <c r="B2370" s="190" t="s">
        <v>27</v>
      </c>
      <c r="C2370" s="841" t="s">
        <v>1281</v>
      </c>
      <c r="D2370" s="841"/>
      <c r="E2370" s="841"/>
      <c r="F2370" s="841"/>
      <c r="G2370" s="81" t="s">
        <v>127</v>
      </c>
      <c r="I2370" s="480" t="s">
        <v>1901</v>
      </c>
      <c r="J2370" s="80"/>
      <c r="K2370" s="80"/>
    </row>
    <row r="2371" spans="1:11" ht="50.1" customHeight="1">
      <c r="A2371" s="179" t="s">
        <v>628</v>
      </c>
      <c r="B2371" s="82"/>
      <c r="C2371" s="830" t="s">
        <v>629</v>
      </c>
      <c r="D2371" s="831"/>
      <c r="E2371" s="831"/>
      <c r="F2371" s="186">
        <f>G2391</f>
        <v>250.99524999999997</v>
      </c>
      <c r="G2371" s="83" t="s">
        <v>167</v>
      </c>
      <c r="I2371" s="481"/>
      <c r="J2371" s="272"/>
      <c r="K2371" s="272"/>
    </row>
    <row r="2372" spans="1:11">
      <c r="A2372" s="818" t="s">
        <v>1902</v>
      </c>
      <c r="B2372" s="819"/>
      <c r="C2372" s="819"/>
      <c r="D2372" s="819"/>
      <c r="E2372" s="819"/>
      <c r="F2372" s="819"/>
      <c r="G2372" s="820"/>
    </row>
    <row r="2373" spans="1:11">
      <c r="A2373" s="84" t="s">
        <v>1903</v>
      </c>
      <c r="B2373" s="84" t="s">
        <v>131</v>
      </c>
      <c r="C2373" s="160" t="s">
        <v>1904</v>
      </c>
      <c r="D2373" s="84" t="s">
        <v>167</v>
      </c>
      <c r="E2373" s="85" t="s">
        <v>1905</v>
      </c>
      <c r="F2373" s="86" t="s">
        <v>1906</v>
      </c>
      <c r="G2373" s="86" t="s">
        <v>1907</v>
      </c>
    </row>
    <row r="2374" spans="1:11" ht="36">
      <c r="A2374" s="87" t="s">
        <v>1917</v>
      </c>
      <c r="B2374" s="87" t="s">
        <v>2054</v>
      </c>
      <c r="C2374" s="278" t="s">
        <v>629</v>
      </c>
      <c r="D2374" s="89" t="s">
        <v>167</v>
      </c>
      <c r="E2374" s="88">
        <v>1</v>
      </c>
      <c r="F2374" s="89">
        <f>'Mapa Cotações'!M93</f>
        <v>100.98</v>
      </c>
      <c r="G2374" s="89">
        <f>F2374*E2374</f>
        <v>100.98</v>
      </c>
    </row>
    <row r="2375" spans="1:11" ht="24">
      <c r="A2375" s="87" t="s">
        <v>2</v>
      </c>
      <c r="B2375" s="87">
        <v>11002</v>
      </c>
      <c r="C2375" s="278" t="s">
        <v>2048</v>
      </c>
      <c r="D2375" s="89" t="s">
        <v>2049</v>
      </c>
      <c r="E2375" s="88">
        <v>9.7500000000000003E-2</v>
      </c>
      <c r="F2375" s="89">
        <v>53.56</v>
      </c>
      <c r="G2375" s="89">
        <v>5.2221000000000002</v>
      </c>
    </row>
    <row r="2376" spans="1:11">
      <c r="A2376" s="832" t="s">
        <v>1908</v>
      </c>
      <c r="B2376" s="833"/>
      <c r="C2376" s="833"/>
      <c r="D2376" s="833"/>
      <c r="E2376" s="833"/>
      <c r="F2376" s="834"/>
      <c r="G2376" s="90">
        <f>SUM(G2374:G2375)</f>
        <v>106.2021</v>
      </c>
    </row>
    <row r="2377" spans="1:11">
      <c r="A2377" s="91"/>
      <c r="B2377" s="92"/>
      <c r="C2377" s="161"/>
      <c r="D2377" s="93"/>
      <c r="E2377" s="94"/>
      <c r="F2377" s="95"/>
      <c r="G2377" s="96"/>
    </row>
    <row r="2378" spans="1:11">
      <c r="A2378" s="835" t="s">
        <v>1909</v>
      </c>
      <c r="B2378" s="836"/>
      <c r="C2378" s="836"/>
      <c r="D2378" s="836"/>
      <c r="E2378" s="836"/>
      <c r="F2378" s="836"/>
      <c r="G2378" s="837"/>
    </row>
    <row r="2379" spans="1:11">
      <c r="A2379" s="84" t="s">
        <v>1903</v>
      </c>
      <c r="B2379" s="84" t="s">
        <v>131</v>
      </c>
      <c r="C2379" s="160" t="s">
        <v>1904</v>
      </c>
      <c r="D2379" s="84" t="s">
        <v>167</v>
      </c>
      <c r="E2379" s="85" t="s">
        <v>1905</v>
      </c>
      <c r="F2379" s="86" t="s">
        <v>1906</v>
      </c>
      <c r="G2379" s="86" t="s">
        <v>1907</v>
      </c>
    </row>
    <row r="2380" spans="1:11" ht="24">
      <c r="A2380" s="87" t="s">
        <v>2</v>
      </c>
      <c r="B2380" s="87">
        <v>88248</v>
      </c>
      <c r="C2380" s="278" t="s">
        <v>1947</v>
      </c>
      <c r="D2380" s="89" t="s">
        <v>137</v>
      </c>
      <c r="E2380" s="88">
        <v>1.915</v>
      </c>
      <c r="F2380" s="89">
        <v>21.45</v>
      </c>
      <c r="G2380" s="89">
        <v>41.076749999999997</v>
      </c>
    </row>
    <row r="2381" spans="1:11" ht="24">
      <c r="A2381" s="87" t="s">
        <v>2</v>
      </c>
      <c r="B2381" s="87">
        <v>88267</v>
      </c>
      <c r="C2381" s="278" t="s">
        <v>1949</v>
      </c>
      <c r="D2381" s="89" t="s">
        <v>137</v>
      </c>
      <c r="E2381" s="88">
        <v>1.915</v>
      </c>
      <c r="F2381" s="89">
        <v>26.33</v>
      </c>
      <c r="G2381" s="89">
        <v>50.421949999999995</v>
      </c>
    </row>
    <row r="2382" spans="1:11">
      <c r="A2382" s="87" t="s">
        <v>2</v>
      </c>
      <c r="B2382" s="87">
        <v>88317</v>
      </c>
      <c r="C2382" s="278" t="s">
        <v>1970</v>
      </c>
      <c r="D2382" s="89" t="s">
        <v>137</v>
      </c>
      <c r="E2382" s="88">
        <v>1.915</v>
      </c>
      <c r="F2382" s="89">
        <v>27.83</v>
      </c>
      <c r="G2382" s="89">
        <v>53.294449999999998</v>
      </c>
    </row>
    <row r="2383" spans="1:11">
      <c r="A2383" s="832" t="s">
        <v>1908</v>
      </c>
      <c r="B2383" s="833"/>
      <c r="C2383" s="833"/>
      <c r="D2383" s="833"/>
      <c r="E2383" s="833"/>
      <c r="F2383" s="834"/>
      <c r="G2383" s="90">
        <f>SUM(G2380:G2382)</f>
        <v>144.79314999999997</v>
      </c>
    </row>
    <row r="2384" spans="1:11">
      <c r="A2384" s="91"/>
      <c r="B2384" s="92"/>
      <c r="C2384" s="162"/>
      <c r="D2384" s="92"/>
      <c r="E2384" s="97"/>
      <c r="F2384" s="98"/>
      <c r="G2384" s="96"/>
    </row>
    <row r="2385" spans="1:11">
      <c r="A2385" s="835" t="s">
        <v>1912</v>
      </c>
      <c r="B2385" s="836"/>
      <c r="C2385" s="836"/>
      <c r="D2385" s="836"/>
      <c r="E2385" s="836"/>
      <c r="F2385" s="836"/>
      <c r="G2385" s="837"/>
    </row>
    <row r="2386" spans="1:11">
      <c r="A2386" s="84" t="s">
        <v>1903</v>
      </c>
      <c r="B2386" s="84" t="s">
        <v>131</v>
      </c>
      <c r="C2386" s="160" t="s">
        <v>1904</v>
      </c>
      <c r="D2386" s="84" t="s">
        <v>167</v>
      </c>
      <c r="E2386" s="85" t="s">
        <v>1905</v>
      </c>
      <c r="F2386" s="86" t="s">
        <v>1906</v>
      </c>
      <c r="G2386" s="86" t="s">
        <v>1907</v>
      </c>
    </row>
    <row r="2387" spans="1:11">
      <c r="A2387" s="87"/>
      <c r="B2387" s="87"/>
      <c r="C2387" s="278" t="s">
        <v>34</v>
      </c>
      <c r="D2387" s="89" t="s">
        <v>34</v>
      </c>
      <c r="E2387" s="88"/>
      <c r="F2387" s="89" t="s">
        <v>34</v>
      </c>
      <c r="G2387" s="89" t="s">
        <v>34</v>
      </c>
    </row>
    <row r="2388" spans="1:11">
      <c r="A2388" s="87"/>
      <c r="B2388" s="87"/>
      <c r="C2388" s="278" t="s">
        <v>34</v>
      </c>
      <c r="D2388" s="89" t="s">
        <v>34</v>
      </c>
      <c r="E2388" s="88"/>
      <c r="F2388" s="89" t="s">
        <v>34</v>
      </c>
      <c r="G2388" s="89" t="s">
        <v>34</v>
      </c>
    </row>
    <row r="2389" spans="1:11">
      <c r="A2389" s="832" t="s">
        <v>1908</v>
      </c>
      <c r="B2389" s="833" t="s">
        <v>1908</v>
      </c>
      <c r="C2389" s="833"/>
      <c r="D2389" s="833"/>
      <c r="E2389" s="833"/>
      <c r="F2389" s="834"/>
      <c r="G2389" s="90" t="s">
        <v>34</v>
      </c>
    </row>
    <row r="2390" spans="1:11" ht="13.5" thickBot="1">
      <c r="A2390" s="91"/>
      <c r="B2390" s="92"/>
      <c r="C2390" s="163"/>
      <c r="D2390" s="99"/>
      <c r="E2390" s="100"/>
      <c r="F2390" s="101"/>
      <c r="G2390" s="102"/>
    </row>
    <row r="2391" spans="1:11" ht="13.5" thickBot="1">
      <c r="A2391" s="838" t="s">
        <v>1259</v>
      </c>
      <c r="B2391" s="839"/>
      <c r="C2391" s="839"/>
      <c r="D2391" s="839"/>
      <c r="E2391" s="839"/>
      <c r="F2391" s="840"/>
      <c r="G2391" s="103">
        <f>G2383+G2376</f>
        <v>250.99524999999997</v>
      </c>
    </row>
    <row r="2394" spans="1:11">
      <c r="A2394" s="237" t="s">
        <v>131</v>
      </c>
      <c r="B2394" s="190" t="s">
        <v>27</v>
      </c>
      <c r="C2394" s="841" t="s">
        <v>1281</v>
      </c>
      <c r="D2394" s="841"/>
      <c r="E2394" s="841"/>
      <c r="F2394" s="841"/>
      <c r="G2394" s="81" t="s">
        <v>127</v>
      </c>
      <c r="I2394" s="480" t="s">
        <v>1901</v>
      </c>
      <c r="J2394" s="80"/>
      <c r="K2394" s="80"/>
    </row>
    <row r="2395" spans="1:11" ht="50.1" customHeight="1">
      <c r="A2395" s="179" t="s">
        <v>633</v>
      </c>
      <c r="B2395" s="82"/>
      <c r="C2395" s="830" t="s">
        <v>634</v>
      </c>
      <c r="D2395" s="831"/>
      <c r="E2395" s="831"/>
      <c r="F2395" s="186">
        <f>G2415</f>
        <v>581.17585999999994</v>
      </c>
      <c r="G2395" s="83" t="s">
        <v>167</v>
      </c>
      <c r="I2395" s="481"/>
      <c r="J2395" s="272"/>
      <c r="K2395" s="272"/>
    </row>
    <row r="2396" spans="1:11">
      <c r="A2396" s="818" t="s">
        <v>1902</v>
      </c>
      <c r="B2396" s="819"/>
      <c r="C2396" s="819"/>
      <c r="D2396" s="819"/>
      <c r="E2396" s="819"/>
      <c r="F2396" s="819"/>
      <c r="G2396" s="820"/>
    </row>
    <row r="2397" spans="1:11">
      <c r="A2397" s="84" t="s">
        <v>1903</v>
      </c>
      <c r="B2397" s="84" t="s">
        <v>131</v>
      </c>
      <c r="C2397" s="160" t="s">
        <v>1904</v>
      </c>
      <c r="D2397" s="84" t="s">
        <v>167</v>
      </c>
      <c r="E2397" s="85" t="s">
        <v>1905</v>
      </c>
      <c r="F2397" s="86" t="s">
        <v>1906</v>
      </c>
      <c r="G2397" s="86" t="s">
        <v>1907</v>
      </c>
    </row>
    <row r="2398" spans="1:11" ht="36">
      <c r="A2398" s="87" t="s">
        <v>1917</v>
      </c>
      <c r="B2398" s="87" t="s">
        <v>2055</v>
      </c>
      <c r="C2398" s="278" t="s">
        <v>634</v>
      </c>
      <c r="D2398" s="89" t="s">
        <v>167</v>
      </c>
      <c r="E2398" s="88">
        <v>1</v>
      </c>
      <c r="F2398" s="89">
        <f>'Mapa Cotações'!M94</f>
        <v>272.79000000000002</v>
      </c>
      <c r="G2398" s="89">
        <f>F2398*E2398</f>
        <v>272.79000000000002</v>
      </c>
    </row>
    <row r="2399" spans="1:11" ht="24">
      <c r="A2399" s="87" t="s">
        <v>2</v>
      </c>
      <c r="B2399" s="87">
        <v>11002</v>
      </c>
      <c r="C2399" s="278" t="s">
        <v>2048</v>
      </c>
      <c r="D2399" s="89" t="s">
        <v>2049</v>
      </c>
      <c r="E2399" s="88">
        <v>0.35099999999999998</v>
      </c>
      <c r="F2399" s="89">
        <v>53.56</v>
      </c>
      <c r="G2399" s="89">
        <v>18.79956</v>
      </c>
    </row>
    <row r="2400" spans="1:11">
      <c r="A2400" s="832" t="s">
        <v>1908</v>
      </c>
      <c r="B2400" s="833"/>
      <c r="C2400" s="833"/>
      <c r="D2400" s="833"/>
      <c r="E2400" s="833"/>
      <c r="F2400" s="834"/>
      <c r="G2400" s="90">
        <f>SUM(G2398:G2399)</f>
        <v>291.58956000000001</v>
      </c>
    </row>
    <row r="2401" spans="1:7">
      <c r="A2401" s="91"/>
      <c r="B2401" s="92"/>
      <c r="C2401" s="161"/>
      <c r="D2401" s="93"/>
      <c r="E2401" s="94"/>
      <c r="F2401" s="95"/>
      <c r="G2401" s="96"/>
    </row>
    <row r="2402" spans="1:7">
      <c r="A2402" s="835" t="s">
        <v>1909</v>
      </c>
      <c r="B2402" s="836"/>
      <c r="C2402" s="836"/>
      <c r="D2402" s="836"/>
      <c r="E2402" s="836"/>
      <c r="F2402" s="836"/>
      <c r="G2402" s="837"/>
    </row>
    <row r="2403" spans="1:7">
      <c r="A2403" s="84" t="s">
        <v>1903</v>
      </c>
      <c r="B2403" s="84" t="s">
        <v>131</v>
      </c>
      <c r="C2403" s="160" t="s">
        <v>1904</v>
      </c>
      <c r="D2403" s="84" t="s">
        <v>167</v>
      </c>
      <c r="E2403" s="85" t="s">
        <v>1905</v>
      </c>
      <c r="F2403" s="86" t="s">
        <v>1906</v>
      </c>
      <c r="G2403" s="86" t="s">
        <v>1907</v>
      </c>
    </row>
    <row r="2404" spans="1:7" ht="24">
      <c r="A2404" s="87" t="s">
        <v>2</v>
      </c>
      <c r="B2404" s="87">
        <v>88248</v>
      </c>
      <c r="C2404" s="278" t="s">
        <v>1947</v>
      </c>
      <c r="D2404" s="89" t="s">
        <v>137</v>
      </c>
      <c r="E2404" s="88">
        <v>3.83</v>
      </c>
      <c r="F2404" s="89">
        <v>21.45</v>
      </c>
      <c r="G2404" s="89">
        <v>82.153499999999994</v>
      </c>
    </row>
    <row r="2405" spans="1:7" ht="24">
      <c r="A2405" s="87" t="s">
        <v>2</v>
      </c>
      <c r="B2405" s="87">
        <v>88267</v>
      </c>
      <c r="C2405" s="278" t="s">
        <v>1949</v>
      </c>
      <c r="D2405" s="89" t="s">
        <v>137</v>
      </c>
      <c r="E2405" s="88">
        <v>3.83</v>
      </c>
      <c r="F2405" s="89">
        <v>26.33</v>
      </c>
      <c r="G2405" s="89">
        <v>100.84389999999999</v>
      </c>
    </row>
    <row r="2406" spans="1:7">
      <c r="A2406" s="87" t="s">
        <v>2</v>
      </c>
      <c r="B2406" s="87">
        <v>88317</v>
      </c>
      <c r="C2406" s="278" t="s">
        <v>1970</v>
      </c>
      <c r="D2406" s="89" t="s">
        <v>137</v>
      </c>
      <c r="E2406" s="88">
        <v>3.83</v>
      </c>
      <c r="F2406" s="89">
        <v>27.83</v>
      </c>
      <c r="G2406" s="89">
        <v>106.5889</v>
      </c>
    </row>
    <row r="2407" spans="1:7">
      <c r="A2407" s="832" t="s">
        <v>1908</v>
      </c>
      <c r="B2407" s="833"/>
      <c r="C2407" s="833"/>
      <c r="D2407" s="833"/>
      <c r="E2407" s="833"/>
      <c r="F2407" s="834"/>
      <c r="G2407" s="90">
        <f>SUM(G2404:G2406)</f>
        <v>289.58629999999994</v>
      </c>
    </row>
    <row r="2408" spans="1:7">
      <c r="A2408" s="91"/>
      <c r="B2408" s="92"/>
      <c r="C2408" s="162"/>
      <c r="D2408" s="92"/>
      <c r="E2408" s="97"/>
      <c r="F2408" s="98"/>
      <c r="G2408" s="96"/>
    </row>
    <row r="2409" spans="1:7">
      <c r="A2409" s="835" t="s">
        <v>1912</v>
      </c>
      <c r="B2409" s="836"/>
      <c r="C2409" s="836"/>
      <c r="D2409" s="836"/>
      <c r="E2409" s="836"/>
      <c r="F2409" s="836"/>
      <c r="G2409" s="837"/>
    </row>
    <row r="2410" spans="1:7">
      <c r="A2410" s="84" t="s">
        <v>1903</v>
      </c>
      <c r="B2410" s="84" t="s">
        <v>131</v>
      </c>
      <c r="C2410" s="160" t="s">
        <v>1904</v>
      </c>
      <c r="D2410" s="84" t="s">
        <v>167</v>
      </c>
      <c r="E2410" s="85" t="s">
        <v>1905</v>
      </c>
      <c r="F2410" s="86" t="s">
        <v>1906</v>
      </c>
      <c r="G2410" s="86" t="s">
        <v>1907</v>
      </c>
    </row>
    <row r="2411" spans="1:7">
      <c r="A2411" s="87"/>
      <c r="B2411" s="87"/>
      <c r="C2411" s="278" t="s">
        <v>34</v>
      </c>
      <c r="D2411" s="89" t="s">
        <v>34</v>
      </c>
      <c r="E2411" s="88"/>
      <c r="F2411" s="89" t="s">
        <v>34</v>
      </c>
      <c r="G2411" s="89" t="s">
        <v>34</v>
      </c>
    </row>
    <row r="2412" spans="1:7">
      <c r="A2412" s="87"/>
      <c r="B2412" s="87"/>
      <c r="C2412" s="278" t="s">
        <v>34</v>
      </c>
      <c r="D2412" s="89" t="s">
        <v>34</v>
      </c>
      <c r="E2412" s="88"/>
      <c r="F2412" s="89" t="s">
        <v>34</v>
      </c>
      <c r="G2412" s="89" t="s">
        <v>34</v>
      </c>
    </row>
    <row r="2413" spans="1:7">
      <c r="A2413" s="832" t="s">
        <v>1908</v>
      </c>
      <c r="B2413" s="833" t="s">
        <v>1908</v>
      </c>
      <c r="C2413" s="833"/>
      <c r="D2413" s="833"/>
      <c r="E2413" s="833"/>
      <c r="F2413" s="834"/>
      <c r="G2413" s="90" t="s">
        <v>34</v>
      </c>
    </row>
    <row r="2414" spans="1:7" ht="13.5" thickBot="1">
      <c r="A2414" s="91"/>
      <c r="B2414" s="92"/>
      <c r="C2414" s="163"/>
      <c r="D2414" s="99"/>
      <c r="E2414" s="100"/>
      <c r="F2414" s="101"/>
      <c r="G2414" s="102"/>
    </row>
    <row r="2415" spans="1:7" ht="13.5" thickBot="1">
      <c r="A2415" s="838" t="s">
        <v>1259</v>
      </c>
      <c r="B2415" s="839"/>
      <c r="C2415" s="839"/>
      <c r="D2415" s="839"/>
      <c r="E2415" s="839"/>
      <c r="F2415" s="840"/>
      <c r="G2415" s="103">
        <f>G2407+G2400</f>
        <v>581.17585999999994</v>
      </c>
    </row>
    <row r="2418" spans="1:11">
      <c r="A2418" s="237" t="s">
        <v>131</v>
      </c>
      <c r="B2418" s="190" t="s">
        <v>27</v>
      </c>
      <c r="C2418" s="841" t="s">
        <v>1281</v>
      </c>
      <c r="D2418" s="841"/>
      <c r="E2418" s="841"/>
      <c r="F2418" s="841"/>
      <c r="G2418" s="81" t="s">
        <v>127</v>
      </c>
      <c r="I2418" s="480" t="s">
        <v>1901</v>
      </c>
      <c r="J2418" s="80"/>
      <c r="K2418" s="80"/>
    </row>
    <row r="2419" spans="1:11" ht="50.1" customHeight="1">
      <c r="A2419" s="179" t="s">
        <v>636</v>
      </c>
      <c r="B2419" s="82"/>
      <c r="C2419" s="830" t="s">
        <v>637</v>
      </c>
      <c r="D2419" s="831"/>
      <c r="E2419" s="831"/>
      <c r="F2419" s="186">
        <f>G2439</f>
        <v>533.76091999999994</v>
      </c>
      <c r="G2419" s="83" t="s">
        <v>167</v>
      </c>
      <c r="I2419" s="481"/>
      <c r="J2419" s="272"/>
      <c r="K2419" s="272"/>
    </row>
    <row r="2420" spans="1:11">
      <c r="A2420" s="818" t="s">
        <v>1902</v>
      </c>
      <c r="B2420" s="819"/>
      <c r="C2420" s="819"/>
      <c r="D2420" s="819"/>
      <c r="E2420" s="819"/>
      <c r="F2420" s="819"/>
      <c r="G2420" s="820"/>
    </row>
    <row r="2421" spans="1:11">
      <c r="A2421" s="84" t="s">
        <v>1903</v>
      </c>
      <c r="B2421" s="84" t="s">
        <v>131</v>
      </c>
      <c r="C2421" s="160" t="s">
        <v>1904</v>
      </c>
      <c r="D2421" s="84" t="s">
        <v>167</v>
      </c>
      <c r="E2421" s="85" t="s">
        <v>1905</v>
      </c>
      <c r="F2421" s="86" t="s">
        <v>1906</v>
      </c>
      <c r="G2421" s="86" t="s">
        <v>1907</v>
      </c>
    </row>
    <row r="2422" spans="1:11" ht="36">
      <c r="A2422" s="87" t="s">
        <v>1917</v>
      </c>
      <c r="B2422" s="87" t="s">
        <v>2056</v>
      </c>
      <c r="C2422" s="278" t="s">
        <v>637</v>
      </c>
      <c r="D2422" s="89" t="s">
        <v>167</v>
      </c>
      <c r="E2422" s="88">
        <v>1</v>
      </c>
      <c r="F2422" s="89">
        <f>'Mapa Cotações'!M95</f>
        <v>287.47000000000003</v>
      </c>
      <c r="G2422" s="89">
        <f>F2422*E2422</f>
        <v>287.47000000000003</v>
      </c>
    </row>
    <row r="2423" spans="1:11" ht="24">
      <c r="A2423" s="87" t="s">
        <v>2</v>
      </c>
      <c r="B2423" s="87">
        <v>11002</v>
      </c>
      <c r="C2423" s="278" t="s">
        <v>2048</v>
      </c>
      <c r="D2423" s="89" t="s">
        <v>2049</v>
      </c>
      <c r="E2423" s="88">
        <v>0.27300000000000002</v>
      </c>
      <c r="F2423" s="89">
        <v>53.56</v>
      </c>
      <c r="G2423" s="89">
        <v>14.621880000000001</v>
      </c>
    </row>
    <row r="2424" spans="1:11">
      <c r="A2424" s="832" t="s">
        <v>1908</v>
      </c>
      <c r="B2424" s="833"/>
      <c r="C2424" s="833"/>
      <c r="D2424" s="833"/>
      <c r="E2424" s="833"/>
      <c r="F2424" s="834"/>
      <c r="G2424" s="90">
        <f>SUM(G2422:G2423)</f>
        <v>302.09188</v>
      </c>
    </row>
    <row r="2425" spans="1:11">
      <c r="A2425" s="91"/>
      <c r="B2425" s="92"/>
      <c r="C2425" s="161"/>
      <c r="D2425" s="93"/>
      <c r="E2425" s="94"/>
      <c r="F2425" s="95"/>
      <c r="G2425" s="96"/>
    </row>
    <row r="2426" spans="1:11">
      <c r="A2426" s="835" t="s">
        <v>1909</v>
      </c>
      <c r="B2426" s="836"/>
      <c r="C2426" s="836"/>
      <c r="D2426" s="836"/>
      <c r="E2426" s="836"/>
      <c r="F2426" s="836"/>
      <c r="G2426" s="837"/>
    </row>
    <row r="2427" spans="1:11">
      <c r="A2427" s="84" t="s">
        <v>1903</v>
      </c>
      <c r="B2427" s="84" t="s">
        <v>131</v>
      </c>
      <c r="C2427" s="160" t="s">
        <v>1904</v>
      </c>
      <c r="D2427" s="84" t="s">
        <v>167</v>
      </c>
      <c r="E2427" s="85" t="s">
        <v>1905</v>
      </c>
      <c r="F2427" s="86" t="s">
        <v>1906</v>
      </c>
      <c r="G2427" s="86" t="s">
        <v>1907</v>
      </c>
    </row>
    <row r="2428" spans="1:11" ht="24">
      <c r="A2428" s="87" t="s">
        <v>2</v>
      </c>
      <c r="B2428" s="87">
        <v>88248</v>
      </c>
      <c r="C2428" s="278" t="s">
        <v>1947</v>
      </c>
      <c r="D2428" s="89" t="s">
        <v>137</v>
      </c>
      <c r="E2428" s="88">
        <v>3.0640000000000001</v>
      </c>
      <c r="F2428" s="89">
        <v>21.45</v>
      </c>
      <c r="G2428" s="89">
        <v>65.722799999999992</v>
      </c>
    </row>
    <row r="2429" spans="1:11" ht="24">
      <c r="A2429" s="87" t="s">
        <v>2</v>
      </c>
      <c r="B2429" s="87">
        <v>88267</v>
      </c>
      <c r="C2429" s="278" t="s">
        <v>1949</v>
      </c>
      <c r="D2429" s="89" t="s">
        <v>137</v>
      </c>
      <c r="E2429" s="88">
        <v>3.0640000000000001</v>
      </c>
      <c r="F2429" s="89">
        <v>26.33</v>
      </c>
      <c r="G2429" s="89">
        <v>80.675119999999993</v>
      </c>
    </row>
    <row r="2430" spans="1:11">
      <c r="A2430" s="87" t="s">
        <v>2</v>
      </c>
      <c r="B2430" s="87">
        <v>88317</v>
      </c>
      <c r="C2430" s="278" t="s">
        <v>1970</v>
      </c>
      <c r="D2430" s="89" t="s">
        <v>137</v>
      </c>
      <c r="E2430" s="88">
        <v>3.0640000000000001</v>
      </c>
      <c r="F2430" s="89">
        <v>27.83</v>
      </c>
      <c r="G2430" s="89">
        <v>85.271119999999996</v>
      </c>
    </row>
    <row r="2431" spans="1:11">
      <c r="A2431" s="832" t="s">
        <v>1908</v>
      </c>
      <c r="B2431" s="833"/>
      <c r="C2431" s="833"/>
      <c r="D2431" s="833"/>
      <c r="E2431" s="833"/>
      <c r="F2431" s="834"/>
      <c r="G2431" s="90">
        <f>SUM(G2428:G2430)</f>
        <v>231.66904</v>
      </c>
    </row>
    <row r="2432" spans="1:11">
      <c r="A2432" s="91"/>
      <c r="B2432" s="92"/>
      <c r="C2432" s="162"/>
      <c r="D2432" s="92"/>
      <c r="E2432" s="97"/>
      <c r="F2432" s="98"/>
      <c r="G2432" s="96"/>
    </row>
    <row r="2433" spans="1:11">
      <c r="A2433" s="835" t="s">
        <v>1912</v>
      </c>
      <c r="B2433" s="836"/>
      <c r="C2433" s="836"/>
      <c r="D2433" s="836"/>
      <c r="E2433" s="836"/>
      <c r="F2433" s="836"/>
      <c r="G2433" s="837"/>
    </row>
    <row r="2434" spans="1:11">
      <c r="A2434" s="84" t="s">
        <v>1903</v>
      </c>
      <c r="B2434" s="84" t="s">
        <v>131</v>
      </c>
      <c r="C2434" s="160" t="s">
        <v>1904</v>
      </c>
      <c r="D2434" s="84" t="s">
        <v>167</v>
      </c>
      <c r="E2434" s="85" t="s">
        <v>1905</v>
      </c>
      <c r="F2434" s="86" t="s">
        <v>1906</v>
      </c>
      <c r="G2434" s="86" t="s">
        <v>1907</v>
      </c>
    </row>
    <row r="2435" spans="1:11">
      <c r="A2435" s="87"/>
      <c r="B2435" s="87"/>
      <c r="C2435" s="278" t="s">
        <v>34</v>
      </c>
      <c r="D2435" s="89" t="s">
        <v>34</v>
      </c>
      <c r="E2435" s="88"/>
      <c r="F2435" s="89" t="s">
        <v>34</v>
      </c>
      <c r="G2435" s="89" t="s">
        <v>34</v>
      </c>
    </row>
    <row r="2436" spans="1:11">
      <c r="A2436" s="87"/>
      <c r="B2436" s="87"/>
      <c r="C2436" s="278" t="s">
        <v>34</v>
      </c>
      <c r="D2436" s="89" t="s">
        <v>34</v>
      </c>
      <c r="E2436" s="88"/>
      <c r="F2436" s="89" t="s">
        <v>34</v>
      </c>
      <c r="G2436" s="89" t="s">
        <v>34</v>
      </c>
    </row>
    <row r="2437" spans="1:11">
      <c r="A2437" s="832" t="s">
        <v>1908</v>
      </c>
      <c r="B2437" s="833" t="s">
        <v>1908</v>
      </c>
      <c r="C2437" s="833"/>
      <c r="D2437" s="833"/>
      <c r="E2437" s="833"/>
      <c r="F2437" s="834"/>
      <c r="G2437" s="90" t="s">
        <v>34</v>
      </c>
    </row>
    <row r="2438" spans="1:11" ht="13.5" thickBot="1">
      <c r="A2438" s="91"/>
      <c r="B2438" s="92"/>
      <c r="C2438" s="163"/>
      <c r="D2438" s="99"/>
      <c r="E2438" s="100"/>
      <c r="F2438" s="101"/>
      <c r="G2438" s="102"/>
    </row>
    <row r="2439" spans="1:11" ht="13.5" thickBot="1">
      <c r="A2439" s="838" t="s">
        <v>1259</v>
      </c>
      <c r="B2439" s="839"/>
      <c r="C2439" s="839"/>
      <c r="D2439" s="839"/>
      <c r="E2439" s="839"/>
      <c r="F2439" s="840"/>
      <c r="G2439" s="103">
        <f>G2431+G2424</f>
        <v>533.76091999999994</v>
      </c>
    </row>
    <row r="2442" spans="1:11">
      <c r="A2442" s="237" t="s">
        <v>131</v>
      </c>
      <c r="B2442" s="190" t="s">
        <v>27</v>
      </c>
      <c r="C2442" s="841" t="s">
        <v>1281</v>
      </c>
      <c r="D2442" s="841"/>
      <c r="E2442" s="841"/>
      <c r="F2442" s="841"/>
      <c r="G2442" s="81" t="s">
        <v>127</v>
      </c>
      <c r="I2442" s="480" t="s">
        <v>1901</v>
      </c>
      <c r="J2442" s="80"/>
      <c r="K2442" s="80"/>
    </row>
    <row r="2443" spans="1:11" ht="50.1" customHeight="1">
      <c r="A2443" s="179" t="s">
        <v>639</v>
      </c>
      <c r="B2443" s="82"/>
      <c r="C2443" s="830" t="s">
        <v>640</v>
      </c>
      <c r="D2443" s="831"/>
      <c r="E2443" s="831"/>
      <c r="F2443" s="186">
        <f>G2463</f>
        <v>606.60888499999999</v>
      </c>
      <c r="G2443" s="83" t="s">
        <v>167</v>
      </c>
      <c r="I2443" s="481"/>
      <c r="J2443" s="272"/>
      <c r="K2443" s="272"/>
    </row>
    <row r="2444" spans="1:11">
      <c r="A2444" s="818" t="s">
        <v>1902</v>
      </c>
      <c r="B2444" s="819"/>
      <c r="C2444" s="819"/>
      <c r="D2444" s="819"/>
      <c r="E2444" s="819"/>
      <c r="F2444" s="819"/>
      <c r="G2444" s="820"/>
    </row>
    <row r="2445" spans="1:11">
      <c r="A2445" s="84" t="s">
        <v>1903</v>
      </c>
      <c r="B2445" s="84" t="s">
        <v>131</v>
      </c>
      <c r="C2445" s="160" t="s">
        <v>1904</v>
      </c>
      <c r="D2445" s="84" t="s">
        <v>167</v>
      </c>
      <c r="E2445" s="85" t="s">
        <v>1905</v>
      </c>
      <c r="F2445" s="86" t="s">
        <v>1906</v>
      </c>
      <c r="G2445" s="86" t="s">
        <v>1907</v>
      </c>
    </row>
    <row r="2446" spans="1:11" ht="36">
      <c r="A2446" s="87" t="s">
        <v>1917</v>
      </c>
      <c r="B2446" s="87" t="s">
        <v>2057</v>
      </c>
      <c r="C2446" s="278" t="s">
        <v>640</v>
      </c>
      <c r="D2446" s="89" t="s">
        <v>167</v>
      </c>
      <c r="E2446" s="88">
        <v>1</v>
      </c>
      <c r="F2446" s="89">
        <f>'Mapa Cotações'!M96</f>
        <v>362.40680500000002</v>
      </c>
      <c r="G2446" s="89">
        <f>F2446*E2446</f>
        <v>362.40680500000002</v>
      </c>
    </row>
    <row r="2447" spans="1:11" ht="24">
      <c r="A2447" s="87" t="s">
        <v>2</v>
      </c>
      <c r="B2447" s="87">
        <v>11002</v>
      </c>
      <c r="C2447" s="278" t="s">
        <v>2048</v>
      </c>
      <c r="D2447" s="89" t="s">
        <v>2049</v>
      </c>
      <c r="E2447" s="88">
        <v>0.23399999999999999</v>
      </c>
      <c r="F2447" s="89">
        <v>53.56</v>
      </c>
      <c r="G2447" s="89">
        <v>12.53304</v>
      </c>
    </row>
    <row r="2448" spans="1:11">
      <c r="A2448" s="832" t="s">
        <v>1908</v>
      </c>
      <c r="B2448" s="833"/>
      <c r="C2448" s="833"/>
      <c r="D2448" s="833"/>
      <c r="E2448" s="833"/>
      <c r="F2448" s="834"/>
      <c r="G2448" s="90">
        <f>SUM(G2446:G2447)</f>
        <v>374.93984499999999</v>
      </c>
    </row>
    <row r="2449" spans="1:7">
      <c r="A2449" s="91"/>
      <c r="B2449" s="92"/>
      <c r="C2449" s="161"/>
      <c r="D2449" s="93"/>
      <c r="E2449" s="94"/>
      <c r="F2449" s="95"/>
      <c r="G2449" s="96"/>
    </row>
    <row r="2450" spans="1:7">
      <c r="A2450" s="835" t="s">
        <v>1909</v>
      </c>
      <c r="B2450" s="836"/>
      <c r="C2450" s="836"/>
      <c r="D2450" s="836"/>
      <c r="E2450" s="836"/>
      <c r="F2450" s="836"/>
      <c r="G2450" s="837"/>
    </row>
    <row r="2451" spans="1:7">
      <c r="A2451" s="84" t="s">
        <v>1903</v>
      </c>
      <c r="B2451" s="84" t="s">
        <v>131</v>
      </c>
      <c r="C2451" s="160" t="s">
        <v>1904</v>
      </c>
      <c r="D2451" s="84" t="s">
        <v>167</v>
      </c>
      <c r="E2451" s="85" t="s">
        <v>1905</v>
      </c>
      <c r="F2451" s="86" t="s">
        <v>1906</v>
      </c>
      <c r="G2451" s="86" t="s">
        <v>1907</v>
      </c>
    </row>
    <row r="2452" spans="1:7" ht="24">
      <c r="A2452" s="87" t="s">
        <v>2</v>
      </c>
      <c r="B2452" s="87">
        <v>88248</v>
      </c>
      <c r="C2452" s="278" t="s">
        <v>1947</v>
      </c>
      <c r="D2452" s="89" t="s">
        <v>137</v>
      </c>
      <c r="E2452" s="88">
        <v>3.0640000000000001</v>
      </c>
      <c r="F2452" s="89">
        <v>21.45</v>
      </c>
      <c r="G2452" s="89">
        <v>65.722799999999992</v>
      </c>
    </row>
    <row r="2453" spans="1:7" ht="24">
      <c r="A2453" s="87" t="s">
        <v>2</v>
      </c>
      <c r="B2453" s="87">
        <v>88267</v>
      </c>
      <c r="C2453" s="278" t="s">
        <v>1949</v>
      </c>
      <c r="D2453" s="89" t="s">
        <v>137</v>
      </c>
      <c r="E2453" s="88">
        <v>3.0640000000000001</v>
      </c>
      <c r="F2453" s="89">
        <v>26.33</v>
      </c>
      <c r="G2453" s="89">
        <v>80.675119999999993</v>
      </c>
    </row>
    <row r="2454" spans="1:7">
      <c r="A2454" s="87" t="s">
        <v>2</v>
      </c>
      <c r="B2454" s="87">
        <v>88317</v>
      </c>
      <c r="C2454" s="278" t="s">
        <v>1970</v>
      </c>
      <c r="D2454" s="89" t="s">
        <v>137</v>
      </c>
      <c r="E2454" s="88">
        <v>3.0640000000000001</v>
      </c>
      <c r="F2454" s="89">
        <v>27.83</v>
      </c>
      <c r="G2454" s="89">
        <v>85.271119999999996</v>
      </c>
    </row>
    <row r="2455" spans="1:7">
      <c r="A2455" s="832" t="s">
        <v>1908</v>
      </c>
      <c r="B2455" s="833"/>
      <c r="C2455" s="833"/>
      <c r="D2455" s="833"/>
      <c r="E2455" s="833"/>
      <c r="F2455" s="834"/>
      <c r="G2455" s="90">
        <f>SUM(G2452:G2454)</f>
        <v>231.66904</v>
      </c>
    </row>
    <row r="2456" spans="1:7">
      <c r="A2456" s="91"/>
      <c r="B2456" s="92"/>
      <c r="C2456" s="162"/>
      <c r="D2456" s="92"/>
      <c r="E2456" s="97"/>
      <c r="F2456" s="98"/>
      <c r="G2456" s="96"/>
    </row>
    <row r="2457" spans="1:7">
      <c r="A2457" s="835" t="s">
        <v>1912</v>
      </c>
      <c r="B2457" s="836"/>
      <c r="C2457" s="836"/>
      <c r="D2457" s="836"/>
      <c r="E2457" s="836"/>
      <c r="F2457" s="836"/>
      <c r="G2457" s="837"/>
    </row>
    <row r="2458" spans="1:7">
      <c r="A2458" s="84" t="s">
        <v>1903</v>
      </c>
      <c r="B2458" s="84" t="s">
        <v>131</v>
      </c>
      <c r="C2458" s="160" t="s">
        <v>1904</v>
      </c>
      <c r="D2458" s="84" t="s">
        <v>167</v>
      </c>
      <c r="E2458" s="85" t="s">
        <v>1905</v>
      </c>
      <c r="F2458" s="86" t="s">
        <v>1906</v>
      </c>
      <c r="G2458" s="86" t="s">
        <v>1907</v>
      </c>
    </row>
    <row r="2459" spans="1:7">
      <c r="A2459" s="87"/>
      <c r="B2459" s="87"/>
      <c r="C2459" s="278" t="s">
        <v>34</v>
      </c>
      <c r="D2459" s="89" t="s">
        <v>34</v>
      </c>
      <c r="E2459" s="88"/>
      <c r="F2459" s="89" t="s">
        <v>34</v>
      </c>
      <c r="G2459" s="89" t="s">
        <v>34</v>
      </c>
    </row>
    <row r="2460" spans="1:7">
      <c r="A2460" s="87"/>
      <c r="B2460" s="87"/>
      <c r="C2460" s="278" t="s">
        <v>34</v>
      </c>
      <c r="D2460" s="89" t="s">
        <v>34</v>
      </c>
      <c r="E2460" s="88"/>
      <c r="F2460" s="89" t="s">
        <v>34</v>
      </c>
      <c r="G2460" s="89" t="s">
        <v>34</v>
      </c>
    </row>
    <row r="2461" spans="1:7">
      <c r="A2461" s="832" t="s">
        <v>1908</v>
      </c>
      <c r="B2461" s="833" t="s">
        <v>1908</v>
      </c>
      <c r="C2461" s="833"/>
      <c r="D2461" s="833"/>
      <c r="E2461" s="833"/>
      <c r="F2461" s="834"/>
      <c r="G2461" s="90" t="s">
        <v>34</v>
      </c>
    </row>
    <row r="2462" spans="1:7" ht="13.5" thickBot="1">
      <c r="A2462" s="91"/>
      <c r="B2462" s="92"/>
      <c r="C2462" s="163"/>
      <c r="D2462" s="99"/>
      <c r="E2462" s="100"/>
      <c r="F2462" s="101"/>
      <c r="G2462" s="102"/>
    </row>
    <row r="2463" spans="1:7" ht="13.5" thickBot="1">
      <c r="A2463" s="838" t="s">
        <v>1259</v>
      </c>
      <c r="B2463" s="839"/>
      <c r="C2463" s="839"/>
      <c r="D2463" s="839"/>
      <c r="E2463" s="839"/>
      <c r="F2463" s="840"/>
      <c r="G2463" s="103">
        <f>G2455+G2448</f>
        <v>606.60888499999999</v>
      </c>
    </row>
    <row r="2466" spans="1:11">
      <c r="A2466" s="237" t="s">
        <v>131</v>
      </c>
      <c r="B2466" s="190" t="s">
        <v>27</v>
      </c>
      <c r="C2466" s="841" t="s">
        <v>1281</v>
      </c>
      <c r="D2466" s="841"/>
      <c r="E2466" s="841"/>
      <c r="F2466" s="841"/>
      <c r="G2466" s="81" t="s">
        <v>127</v>
      </c>
      <c r="I2466" s="480" t="s">
        <v>1901</v>
      </c>
      <c r="J2466" s="80"/>
      <c r="K2466" s="80"/>
    </row>
    <row r="2467" spans="1:11" ht="50.1" customHeight="1">
      <c r="A2467" s="179" t="s">
        <v>642</v>
      </c>
      <c r="B2467" s="82"/>
      <c r="C2467" s="830" t="s">
        <v>643</v>
      </c>
      <c r="D2467" s="831"/>
      <c r="E2467" s="831"/>
      <c r="F2467" s="186">
        <f>G2487</f>
        <v>307.49850999999995</v>
      </c>
      <c r="G2467" s="83" t="s">
        <v>167</v>
      </c>
      <c r="I2467" s="481"/>
      <c r="J2467" s="272"/>
      <c r="K2467" s="272"/>
    </row>
    <row r="2468" spans="1:11">
      <c r="A2468" s="818" t="s">
        <v>1902</v>
      </c>
      <c r="B2468" s="819"/>
      <c r="C2468" s="819"/>
      <c r="D2468" s="819"/>
      <c r="E2468" s="819"/>
      <c r="F2468" s="819"/>
      <c r="G2468" s="820"/>
    </row>
    <row r="2469" spans="1:11">
      <c r="A2469" s="84" t="s">
        <v>1903</v>
      </c>
      <c r="B2469" s="84" t="s">
        <v>131</v>
      </c>
      <c r="C2469" s="160" t="s">
        <v>1904</v>
      </c>
      <c r="D2469" s="84" t="s">
        <v>167</v>
      </c>
      <c r="E2469" s="85" t="s">
        <v>1905</v>
      </c>
      <c r="F2469" s="86" t="s">
        <v>1906</v>
      </c>
      <c r="G2469" s="86" t="s">
        <v>1907</v>
      </c>
    </row>
    <row r="2470" spans="1:11" ht="36">
      <c r="A2470" s="87" t="s">
        <v>1917</v>
      </c>
      <c r="B2470" s="87" t="s">
        <v>2058</v>
      </c>
      <c r="C2470" s="278" t="s">
        <v>643</v>
      </c>
      <c r="D2470" s="89" t="s">
        <v>167</v>
      </c>
      <c r="E2470" s="88">
        <v>1</v>
      </c>
      <c r="F2470" s="89">
        <f>'Mapa Cotações'!M97</f>
        <v>154.35</v>
      </c>
      <c r="G2470" s="89">
        <f>F2470*E2470</f>
        <v>154.35</v>
      </c>
    </row>
    <row r="2471" spans="1:11" ht="24">
      <c r="A2471" s="87" t="s">
        <v>2</v>
      </c>
      <c r="B2471" s="87">
        <v>11002</v>
      </c>
      <c r="C2471" s="278" t="s">
        <v>2048</v>
      </c>
      <c r="D2471" s="89" t="s">
        <v>2049</v>
      </c>
      <c r="E2471" s="88">
        <v>0.156</v>
      </c>
      <c r="F2471" s="89">
        <v>53.56</v>
      </c>
      <c r="G2471" s="89">
        <v>8.355360000000001</v>
      </c>
    </row>
    <row r="2472" spans="1:11">
      <c r="A2472" s="832" t="s">
        <v>1908</v>
      </c>
      <c r="B2472" s="833"/>
      <c r="C2472" s="833"/>
      <c r="D2472" s="833"/>
      <c r="E2472" s="833"/>
      <c r="F2472" s="834"/>
      <c r="G2472" s="90">
        <f>SUM(G2470:G2471)</f>
        <v>162.70535999999998</v>
      </c>
    </row>
    <row r="2473" spans="1:11">
      <c r="A2473" s="91"/>
      <c r="B2473" s="92"/>
      <c r="C2473" s="161"/>
      <c r="D2473" s="93"/>
      <c r="E2473" s="94"/>
      <c r="F2473" s="95"/>
      <c r="G2473" s="96"/>
    </row>
    <row r="2474" spans="1:11">
      <c r="A2474" s="835" t="s">
        <v>1909</v>
      </c>
      <c r="B2474" s="836"/>
      <c r="C2474" s="836"/>
      <c r="D2474" s="836"/>
      <c r="E2474" s="836"/>
      <c r="F2474" s="836"/>
      <c r="G2474" s="837"/>
    </row>
    <row r="2475" spans="1:11">
      <c r="A2475" s="84" t="s">
        <v>1903</v>
      </c>
      <c r="B2475" s="84" t="s">
        <v>131</v>
      </c>
      <c r="C2475" s="160" t="s">
        <v>1904</v>
      </c>
      <c r="D2475" s="84" t="s">
        <v>167</v>
      </c>
      <c r="E2475" s="85" t="s">
        <v>1905</v>
      </c>
      <c r="F2475" s="86" t="s">
        <v>1906</v>
      </c>
      <c r="G2475" s="86" t="s">
        <v>1907</v>
      </c>
    </row>
    <row r="2476" spans="1:11" ht="24">
      <c r="A2476" s="87" t="s">
        <v>2</v>
      </c>
      <c r="B2476" s="87">
        <v>88248</v>
      </c>
      <c r="C2476" s="278" t="s">
        <v>1947</v>
      </c>
      <c r="D2476" s="89" t="s">
        <v>137</v>
      </c>
      <c r="E2476" s="88">
        <v>1.915</v>
      </c>
      <c r="F2476" s="89">
        <v>21.45</v>
      </c>
      <c r="G2476" s="89">
        <v>41.076749999999997</v>
      </c>
    </row>
    <row r="2477" spans="1:11" ht="24">
      <c r="A2477" s="87" t="s">
        <v>2</v>
      </c>
      <c r="B2477" s="87">
        <v>88267</v>
      </c>
      <c r="C2477" s="278" t="s">
        <v>1949</v>
      </c>
      <c r="D2477" s="89" t="s">
        <v>137</v>
      </c>
      <c r="E2477" s="88">
        <v>1.915</v>
      </c>
      <c r="F2477" s="89">
        <v>26.33</v>
      </c>
      <c r="G2477" s="89">
        <v>50.421949999999995</v>
      </c>
    </row>
    <row r="2478" spans="1:11">
      <c r="A2478" s="87" t="s">
        <v>2</v>
      </c>
      <c r="B2478" s="87">
        <v>88317</v>
      </c>
      <c r="C2478" s="278" t="s">
        <v>1970</v>
      </c>
      <c r="D2478" s="89" t="s">
        <v>137</v>
      </c>
      <c r="E2478" s="88">
        <v>1.915</v>
      </c>
      <c r="F2478" s="89">
        <v>27.83</v>
      </c>
      <c r="G2478" s="89">
        <v>53.294449999999998</v>
      </c>
    </row>
    <row r="2479" spans="1:11">
      <c r="A2479" s="832" t="s">
        <v>1908</v>
      </c>
      <c r="B2479" s="833"/>
      <c r="C2479" s="833"/>
      <c r="D2479" s="833"/>
      <c r="E2479" s="833"/>
      <c r="F2479" s="834"/>
      <c r="G2479" s="90">
        <f>SUM(G2476:G2478)</f>
        <v>144.79314999999997</v>
      </c>
    </row>
    <row r="2480" spans="1:11">
      <c r="A2480" s="91"/>
      <c r="B2480" s="92"/>
      <c r="C2480" s="162"/>
      <c r="D2480" s="92"/>
      <c r="E2480" s="97"/>
      <c r="F2480" s="98"/>
      <c r="G2480" s="96"/>
    </row>
    <row r="2481" spans="1:11">
      <c r="A2481" s="835" t="s">
        <v>1912</v>
      </c>
      <c r="B2481" s="836"/>
      <c r="C2481" s="836"/>
      <c r="D2481" s="836"/>
      <c r="E2481" s="836"/>
      <c r="F2481" s="836"/>
      <c r="G2481" s="837"/>
    </row>
    <row r="2482" spans="1:11">
      <c r="A2482" s="84" t="s">
        <v>1903</v>
      </c>
      <c r="B2482" s="84" t="s">
        <v>131</v>
      </c>
      <c r="C2482" s="160" t="s">
        <v>1904</v>
      </c>
      <c r="D2482" s="84" t="s">
        <v>167</v>
      </c>
      <c r="E2482" s="85" t="s">
        <v>1905</v>
      </c>
      <c r="F2482" s="86" t="s">
        <v>1906</v>
      </c>
      <c r="G2482" s="86" t="s">
        <v>1907</v>
      </c>
    </row>
    <row r="2483" spans="1:11">
      <c r="A2483" s="87"/>
      <c r="B2483" s="87"/>
      <c r="C2483" s="278" t="s">
        <v>34</v>
      </c>
      <c r="D2483" s="89" t="s">
        <v>34</v>
      </c>
      <c r="E2483" s="88"/>
      <c r="F2483" s="89" t="s">
        <v>34</v>
      </c>
      <c r="G2483" s="89" t="s">
        <v>34</v>
      </c>
    </row>
    <row r="2484" spans="1:11">
      <c r="A2484" s="87"/>
      <c r="B2484" s="87"/>
      <c r="C2484" s="278" t="s">
        <v>34</v>
      </c>
      <c r="D2484" s="89" t="s">
        <v>34</v>
      </c>
      <c r="E2484" s="88"/>
      <c r="F2484" s="89" t="s">
        <v>34</v>
      </c>
      <c r="G2484" s="89" t="s">
        <v>34</v>
      </c>
    </row>
    <row r="2485" spans="1:11">
      <c r="A2485" s="832" t="s">
        <v>1908</v>
      </c>
      <c r="B2485" s="833" t="s">
        <v>1908</v>
      </c>
      <c r="C2485" s="833"/>
      <c r="D2485" s="833"/>
      <c r="E2485" s="833"/>
      <c r="F2485" s="834"/>
      <c r="G2485" s="90" t="s">
        <v>34</v>
      </c>
    </row>
    <row r="2486" spans="1:11" ht="13.5" thickBot="1">
      <c r="A2486" s="91"/>
      <c r="B2486" s="92"/>
      <c r="C2486" s="163"/>
      <c r="D2486" s="99"/>
      <c r="E2486" s="100"/>
      <c r="F2486" s="101"/>
      <c r="G2486" s="102"/>
    </row>
    <row r="2487" spans="1:11" ht="13.5" thickBot="1">
      <c r="A2487" s="838" t="s">
        <v>1259</v>
      </c>
      <c r="B2487" s="839"/>
      <c r="C2487" s="839"/>
      <c r="D2487" s="839"/>
      <c r="E2487" s="839"/>
      <c r="F2487" s="840"/>
      <c r="G2487" s="103">
        <f>G2479+G2472</f>
        <v>307.49850999999995</v>
      </c>
    </row>
    <row r="2490" spans="1:11">
      <c r="A2490" s="237" t="s">
        <v>131</v>
      </c>
      <c r="B2490" s="190" t="s">
        <v>27</v>
      </c>
      <c r="C2490" s="841" t="s">
        <v>1281</v>
      </c>
      <c r="D2490" s="841"/>
      <c r="E2490" s="841"/>
      <c r="F2490" s="841"/>
      <c r="G2490" s="81" t="s">
        <v>127</v>
      </c>
      <c r="I2490" s="480" t="s">
        <v>1901</v>
      </c>
      <c r="J2490" s="80"/>
      <c r="K2490" s="80"/>
    </row>
    <row r="2491" spans="1:11" ht="50.1" customHeight="1">
      <c r="A2491" s="179" t="s">
        <v>645</v>
      </c>
      <c r="B2491" s="82"/>
      <c r="C2491" s="830" t="s">
        <v>646</v>
      </c>
      <c r="D2491" s="831"/>
      <c r="E2491" s="831"/>
      <c r="F2491" s="186">
        <f>G2511</f>
        <v>187.25791500000003</v>
      </c>
      <c r="G2491" s="83" t="s">
        <v>167</v>
      </c>
      <c r="I2491" s="481"/>
      <c r="J2491" s="272"/>
      <c r="K2491" s="272"/>
    </row>
    <row r="2492" spans="1:11">
      <c r="A2492" s="818" t="s">
        <v>1902</v>
      </c>
      <c r="B2492" s="819"/>
      <c r="C2492" s="819"/>
      <c r="D2492" s="819"/>
      <c r="E2492" s="819"/>
      <c r="F2492" s="819"/>
      <c r="G2492" s="820"/>
    </row>
    <row r="2493" spans="1:11">
      <c r="A2493" s="84" t="s">
        <v>1903</v>
      </c>
      <c r="B2493" s="84" t="s">
        <v>131</v>
      </c>
      <c r="C2493" s="160" t="s">
        <v>1904</v>
      </c>
      <c r="D2493" s="84" t="s">
        <v>167</v>
      </c>
      <c r="E2493" s="85" t="s">
        <v>1905</v>
      </c>
      <c r="F2493" s="86" t="s">
        <v>1906</v>
      </c>
      <c r="G2493" s="86" t="s">
        <v>1907</v>
      </c>
    </row>
    <row r="2494" spans="1:11" ht="36">
      <c r="A2494" s="87" t="s">
        <v>1917</v>
      </c>
      <c r="B2494" s="87" t="s">
        <v>2059</v>
      </c>
      <c r="C2494" s="278" t="s">
        <v>646</v>
      </c>
      <c r="D2494" s="89" t="s">
        <v>167</v>
      </c>
      <c r="E2494" s="88">
        <v>1</v>
      </c>
      <c r="F2494" s="89">
        <f>'Mapa Cotações'!M98</f>
        <v>95.159925000000015</v>
      </c>
      <c r="G2494" s="89">
        <f>F2494*E2494</f>
        <v>95.159925000000015</v>
      </c>
    </row>
    <row r="2495" spans="1:11" ht="24">
      <c r="A2495" s="87" t="s">
        <v>2</v>
      </c>
      <c r="B2495" s="87">
        <v>11002</v>
      </c>
      <c r="C2495" s="278" t="s">
        <v>2048</v>
      </c>
      <c r="D2495" s="89" t="s">
        <v>2049</v>
      </c>
      <c r="E2495" s="88">
        <v>9.7500000000000003E-2</v>
      </c>
      <c r="F2495" s="89">
        <v>53.56</v>
      </c>
      <c r="G2495" s="89">
        <v>5.2221000000000002</v>
      </c>
    </row>
    <row r="2496" spans="1:11">
      <c r="A2496" s="832" t="s">
        <v>1908</v>
      </c>
      <c r="B2496" s="833"/>
      <c r="C2496" s="833"/>
      <c r="D2496" s="833"/>
      <c r="E2496" s="833"/>
      <c r="F2496" s="834"/>
      <c r="G2496" s="90">
        <f>SUM(G2494:G2495)</f>
        <v>100.38202500000001</v>
      </c>
    </row>
    <row r="2497" spans="1:7">
      <c r="A2497" s="91"/>
      <c r="B2497" s="92"/>
      <c r="C2497" s="161"/>
      <c r="D2497" s="93"/>
      <c r="E2497" s="94"/>
      <c r="F2497" s="95"/>
      <c r="G2497" s="96"/>
    </row>
    <row r="2498" spans="1:7">
      <c r="A2498" s="835" t="s">
        <v>1909</v>
      </c>
      <c r="B2498" s="836"/>
      <c r="C2498" s="836"/>
      <c r="D2498" s="836"/>
      <c r="E2498" s="836"/>
      <c r="F2498" s="836"/>
      <c r="G2498" s="837"/>
    </row>
    <row r="2499" spans="1:7">
      <c r="A2499" s="84" t="s">
        <v>1903</v>
      </c>
      <c r="B2499" s="84" t="s">
        <v>131</v>
      </c>
      <c r="C2499" s="160" t="s">
        <v>1904</v>
      </c>
      <c r="D2499" s="84" t="s">
        <v>167</v>
      </c>
      <c r="E2499" s="85" t="s">
        <v>1905</v>
      </c>
      <c r="F2499" s="86" t="s">
        <v>1906</v>
      </c>
      <c r="G2499" s="86" t="s">
        <v>1907</v>
      </c>
    </row>
    <row r="2500" spans="1:7" ht="24">
      <c r="A2500" s="87" t="s">
        <v>2</v>
      </c>
      <c r="B2500" s="87">
        <v>88248</v>
      </c>
      <c r="C2500" s="278" t="s">
        <v>1947</v>
      </c>
      <c r="D2500" s="89" t="s">
        <v>137</v>
      </c>
      <c r="E2500" s="88">
        <v>1.149</v>
      </c>
      <c r="F2500" s="89">
        <v>21.45</v>
      </c>
      <c r="G2500" s="89">
        <v>24.646049999999999</v>
      </c>
    </row>
    <row r="2501" spans="1:7" ht="24">
      <c r="A2501" s="87" t="s">
        <v>2</v>
      </c>
      <c r="B2501" s="87">
        <v>88267</v>
      </c>
      <c r="C2501" s="278" t="s">
        <v>1949</v>
      </c>
      <c r="D2501" s="89" t="s">
        <v>137</v>
      </c>
      <c r="E2501" s="88">
        <v>1.149</v>
      </c>
      <c r="F2501" s="89">
        <v>26.33</v>
      </c>
      <c r="G2501" s="89">
        <v>30.253169999999997</v>
      </c>
    </row>
    <row r="2502" spans="1:7">
      <c r="A2502" s="87" t="s">
        <v>2</v>
      </c>
      <c r="B2502" s="87">
        <v>88317</v>
      </c>
      <c r="C2502" s="278" t="s">
        <v>1970</v>
      </c>
      <c r="D2502" s="89" t="s">
        <v>137</v>
      </c>
      <c r="E2502" s="88">
        <v>1.149</v>
      </c>
      <c r="F2502" s="89">
        <v>27.83</v>
      </c>
      <c r="G2502" s="89">
        <v>31.976669999999999</v>
      </c>
    </row>
    <row r="2503" spans="1:7">
      <c r="A2503" s="832" t="s">
        <v>1908</v>
      </c>
      <c r="B2503" s="833"/>
      <c r="C2503" s="833"/>
      <c r="D2503" s="833"/>
      <c r="E2503" s="833"/>
      <c r="F2503" s="834"/>
      <c r="G2503" s="90">
        <f>SUM(G2500:G2502)</f>
        <v>86.875889999999998</v>
      </c>
    </row>
    <row r="2504" spans="1:7">
      <c r="A2504" s="91"/>
      <c r="B2504" s="92"/>
      <c r="C2504" s="162"/>
      <c r="D2504" s="92"/>
      <c r="E2504" s="97"/>
      <c r="F2504" s="98"/>
      <c r="G2504" s="96"/>
    </row>
    <row r="2505" spans="1:7">
      <c r="A2505" s="835" t="s">
        <v>1912</v>
      </c>
      <c r="B2505" s="836"/>
      <c r="C2505" s="836"/>
      <c r="D2505" s="836"/>
      <c r="E2505" s="836"/>
      <c r="F2505" s="836"/>
      <c r="G2505" s="837"/>
    </row>
    <row r="2506" spans="1:7">
      <c r="A2506" s="84" t="s">
        <v>1903</v>
      </c>
      <c r="B2506" s="84" t="s">
        <v>131</v>
      </c>
      <c r="C2506" s="160" t="s">
        <v>1904</v>
      </c>
      <c r="D2506" s="84" t="s">
        <v>167</v>
      </c>
      <c r="E2506" s="85" t="s">
        <v>1905</v>
      </c>
      <c r="F2506" s="86" t="s">
        <v>1906</v>
      </c>
      <c r="G2506" s="86" t="s">
        <v>1907</v>
      </c>
    </row>
    <row r="2507" spans="1:7">
      <c r="A2507" s="87"/>
      <c r="B2507" s="87"/>
      <c r="C2507" s="278" t="s">
        <v>34</v>
      </c>
      <c r="D2507" s="89" t="s">
        <v>34</v>
      </c>
      <c r="E2507" s="88"/>
      <c r="F2507" s="89" t="s">
        <v>34</v>
      </c>
      <c r="G2507" s="89" t="s">
        <v>34</v>
      </c>
    </row>
    <row r="2508" spans="1:7">
      <c r="A2508" s="87"/>
      <c r="B2508" s="87"/>
      <c r="C2508" s="278" t="s">
        <v>34</v>
      </c>
      <c r="D2508" s="89" t="s">
        <v>34</v>
      </c>
      <c r="E2508" s="88"/>
      <c r="F2508" s="89" t="s">
        <v>34</v>
      </c>
      <c r="G2508" s="89" t="s">
        <v>34</v>
      </c>
    </row>
    <row r="2509" spans="1:7">
      <c r="A2509" s="832" t="s">
        <v>1908</v>
      </c>
      <c r="B2509" s="833" t="s">
        <v>1908</v>
      </c>
      <c r="C2509" s="833"/>
      <c r="D2509" s="833"/>
      <c r="E2509" s="833"/>
      <c r="F2509" s="834"/>
      <c r="G2509" s="90" t="s">
        <v>34</v>
      </c>
    </row>
    <row r="2510" spans="1:7" ht="13.5" thickBot="1">
      <c r="A2510" s="91"/>
      <c r="B2510" s="92"/>
      <c r="C2510" s="163"/>
      <c r="D2510" s="99"/>
      <c r="E2510" s="100"/>
      <c r="F2510" s="101"/>
      <c r="G2510" s="102"/>
    </row>
    <row r="2511" spans="1:7" ht="13.5" thickBot="1">
      <c r="A2511" s="838" t="s">
        <v>1259</v>
      </c>
      <c r="B2511" s="839"/>
      <c r="C2511" s="839"/>
      <c r="D2511" s="839"/>
      <c r="E2511" s="839"/>
      <c r="F2511" s="840"/>
      <c r="G2511" s="103">
        <f>G2503+G2496</f>
        <v>187.25791500000003</v>
      </c>
    </row>
    <row r="2514" spans="1:11">
      <c r="A2514" s="237" t="s">
        <v>131</v>
      </c>
      <c r="B2514" s="190" t="s">
        <v>27</v>
      </c>
      <c r="C2514" s="841" t="s">
        <v>1281</v>
      </c>
      <c r="D2514" s="841"/>
      <c r="E2514" s="841"/>
      <c r="F2514" s="841"/>
      <c r="G2514" s="81" t="s">
        <v>127</v>
      </c>
      <c r="I2514" s="480" t="s">
        <v>1901</v>
      </c>
      <c r="J2514" s="80"/>
      <c r="K2514" s="80"/>
    </row>
    <row r="2515" spans="1:11" ht="50.1" customHeight="1">
      <c r="A2515" s="179" t="s">
        <v>648</v>
      </c>
      <c r="B2515" s="82"/>
      <c r="C2515" s="830" t="s">
        <v>649</v>
      </c>
      <c r="D2515" s="831"/>
      <c r="E2515" s="831"/>
      <c r="F2515" s="186">
        <f>G2535</f>
        <v>630.25259999999992</v>
      </c>
      <c r="G2515" s="83" t="s">
        <v>167</v>
      </c>
      <c r="I2515" s="481"/>
      <c r="J2515" s="272"/>
      <c r="K2515" s="272"/>
    </row>
    <row r="2516" spans="1:11">
      <c r="A2516" s="818" t="s">
        <v>1902</v>
      </c>
      <c r="B2516" s="819"/>
      <c r="C2516" s="819"/>
      <c r="D2516" s="819"/>
      <c r="E2516" s="819"/>
      <c r="F2516" s="819"/>
      <c r="G2516" s="820"/>
    </row>
    <row r="2517" spans="1:11">
      <c r="A2517" s="84" t="s">
        <v>1903</v>
      </c>
      <c r="B2517" s="84" t="s">
        <v>131</v>
      </c>
      <c r="C2517" s="160" t="s">
        <v>1904</v>
      </c>
      <c r="D2517" s="84" t="s">
        <v>167</v>
      </c>
      <c r="E2517" s="85" t="s">
        <v>1905</v>
      </c>
      <c r="F2517" s="86" t="s">
        <v>1906</v>
      </c>
      <c r="G2517" s="86" t="s">
        <v>1907</v>
      </c>
    </row>
    <row r="2518" spans="1:11" ht="36">
      <c r="A2518" s="87" t="s">
        <v>1917</v>
      </c>
      <c r="B2518" s="87" t="s">
        <v>2060</v>
      </c>
      <c r="C2518" s="278" t="s">
        <v>649</v>
      </c>
      <c r="D2518" s="89" t="s">
        <v>167</v>
      </c>
      <c r="E2518" s="88">
        <v>1</v>
      </c>
      <c r="F2518" s="89">
        <f>'Mapa Cotações'!M99</f>
        <v>325</v>
      </c>
      <c r="G2518" s="89">
        <f>F2518*E2518</f>
        <v>325</v>
      </c>
    </row>
    <row r="2519" spans="1:11" ht="24">
      <c r="A2519" s="87" t="s">
        <v>2</v>
      </c>
      <c r="B2519" s="87">
        <v>11002</v>
      </c>
      <c r="C2519" s="278" t="s">
        <v>2048</v>
      </c>
      <c r="D2519" s="89" t="s">
        <v>2049</v>
      </c>
      <c r="E2519" s="88">
        <v>0.29249999999999998</v>
      </c>
      <c r="F2519" s="89">
        <v>53.56</v>
      </c>
      <c r="G2519" s="89">
        <v>15.6663</v>
      </c>
    </row>
    <row r="2520" spans="1:11">
      <c r="A2520" s="832" t="s">
        <v>1908</v>
      </c>
      <c r="B2520" s="833"/>
      <c r="C2520" s="833"/>
      <c r="D2520" s="833"/>
      <c r="E2520" s="833"/>
      <c r="F2520" s="834"/>
      <c r="G2520" s="90">
        <f>SUM(G2518:G2519)</f>
        <v>340.66629999999998</v>
      </c>
    </row>
    <row r="2521" spans="1:11">
      <c r="A2521" s="91"/>
      <c r="B2521" s="92"/>
      <c r="C2521" s="161"/>
      <c r="D2521" s="93"/>
      <c r="E2521" s="94"/>
      <c r="F2521" s="95"/>
      <c r="G2521" s="96"/>
    </row>
    <row r="2522" spans="1:11">
      <c r="A2522" s="835" t="s">
        <v>1909</v>
      </c>
      <c r="B2522" s="836"/>
      <c r="C2522" s="836"/>
      <c r="D2522" s="836"/>
      <c r="E2522" s="836"/>
      <c r="F2522" s="836"/>
      <c r="G2522" s="837"/>
    </row>
    <row r="2523" spans="1:11">
      <c r="A2523" s="84" t="s">
        <v>1903</v>
      </c>
      <c r="B2523" s="84" t="s">
        <v>131</v>
      </c>
      <c r="C2523" s="160" t="s">
        <v>1904</v>
      </c>
      <c r="D2523" s="84" t="s">
        <v>167</v>
      </c>
      <c r="E2523" s="85" t="s">
        <v>1905</v>
      </c>
      <c r="F2523" s="86" t="s">
        <v>1906</v>
      </c>
      <c r="G2523" s="86" t="s">
        <v>1907</v>
      </c>
    </row>
    <row r="2524" spans="1:11" ht="24">
      <c r="A2524" s="87" t="s">
        <v>2</v>
      </c>
      <c r="B2524" s="87">
        <v>88248</v>
      </c>
      <c r="C2524" s="278" t="s">
        <v>1947</v>
      </c>
      <c r="D2524" s="89" t="s">
        <v>137</v>
      </c>
      <c r="E2524" s="88">
        <v>3.83</v>
      </c>
      <c r="F2524" s="89">
        <v>21.45</v>
      </c>
      <c r="G2524" s="89">
        <v>82.153499999999994</v>
      </c>
    </row>
    <row r="2525" spans="1:11" ht="24">
      <c r="A2525" s="87" t="s">
        <v>2</v>
      </c>
      <c r="B2525" s="87">
        <v>88267</v>
      </c>
      <c r="C2525" s="278" t="s">
        <v>1949</v>
      </c>
      <c r="D2525" s="89" t="s">
        <v>137</v>
      </c>
      <c r="E2525" s="88">
        <v>3.83</v>
      </c>
      <c r="F2525" s="89">
        <v>26.33</v>
      </c>
      <c r="G2525" s="89">
        <v>100.84389999999999</v>
      </c>
    </row>
    <row r="2526" spans="1:11">
      <c r="A2526" s="87" t="s">
        <v>2</v>
      </c>
      <c r="B2526" s="87">
        <v>88317</v>
      </c>
      <c r="C2526" s="278" t="s">
        <v>1970</v>
      </c>
      <c r="D2526" s="89" t="s">
        <v>137</v>
      </c>
      <c r="E2526" s="88">
        <v>3.83</v>
      </c>
      <c r="F2526" s="89">
        <v>27.83</v>
      </c>
      <c r="G2526" s="89">
        <v>106.5889</v>
      </c>
    </row>
    <row r="2527" spans="1:11">
      <c r="A2527" s="832" t="s">
        <v>1908</v>
      </c>
      <c r="B2527" s="833"/>
      <c r="C2527" s="833"/>
      <c r="D2527" s="833"/>
      <c r="E2527" s="833"/>
      <c r="F2527" s="834"/>
      <c r="G2527" s="90">
        <f>SUM(G2524:G2526)</f>
        <v>289.58629999999994</v>
      </c>
    </row>
    <row r="2528" spans="1:11">
      <c r="A2528" s="91"/>
      <c r="B2528" s="92"/>
      <c r="C2528" s="162"/>
      <c r="D2528" s="92"/>
      <c r="E2528" s="97"/>
      <c r="F2528" s="98"/>
      <c r="G2528" s="96"/>
    </row>
    <row r="2529" spans="1:11">
      <c r="A2529" s="835" t="s">
        <v>1912</v>
      </c>
      <c r="B2529" s="836"/>
      <c r="C2529" s="836"/>
      <c r="D2529" s="836"/>
      <c r="E2529" s="836"/>
      <c r="F2529" s="836"/>
      <c r="G2529" s="837"/>
    </row>
    <row r="2530" spans="1:11">
      <c r="A2530" s="84" t="s">
        <v>1903</v>
      </c>
      <c r="B2530" s="84" t="s">
        <v>131</v>
      </c>
      <c r="C2530" s="160" t="s">
        <v>1904</v>
      </c>
      <c r="D2530" s="84" t="s">
        <v>167</v>
      </c>
      <c r="E2530" s="85" t="s">
        <v>1905</v>
      </c>
      <c r="F2530" s="86" t="s">
        <v>1906</v>
      </c>
      <c r="G2530" s="86" t="s">
        <v>1907</v>
      </c>
    </row>
    <row r="2531" spans="1:11">
      <c r="A2531" s="87"/>
      <c r="B2531" s="87"/>
      <c r="C2531" s="278" t="s">
        <v>34</v>
      </c>
      <c r="D2531" s="89" t="s">
        <v>34</v>
      </c>
      <c r="E2531" s="88"/>
      <c r="F2531" s="89" t="s">
        <v>34</v>
      </c>
      <c r="G2531" s="89" t="s">
        <v>34</v>
      </c>
    </row>
    <row r="2532" spans="1:11">
      <c r="A2532" s="87"/>
      <c r="B2532" s="87"/>
      <c r="C2532" s="278" t="s">
        <v>34</v>
      </c>
      <c r="D2532" s="89" t="s">
        <v>34</v>
      </c>
      <c r="E2532" s="88"/>
      <c r="F2532" s="89" t="s">
        <v>34</v>
      </c>
      <c r="G2532" s="89" t="s">
        <v>34</v>
      </c>
    </row>
    <row r="2533" spans="1:11">
      <c r="A2533" s="832" t="s">
        <v>1908</v>
      </c>
      <c r="B2533" s="833" t="s">
        <v>1908</v>
      </c>
      <c r="C2533" s="833"/>
      <c r="D2533" s="833"/>
      <c r="E2533" s="833"/>
      <c r="F2533" s="834"/>
      <c r="G2533" s="90" t="s">
        <v>34</v>
      </c>
    </row>
    <row r="2534" spans="1:11" ht="13.5" thickBot="1">
      <c r="A2534" s="91"/>
      <c r="B2534" s="92"/>
      <c r="C2534" s="163"/>
      <c r="D2534" s="99"/>
      <c r="E2534" s="100"/>
      <c r="F2534" s="101"/>
      <c r="G2534" s="102"/>
    </row>
    <row r="2535" spans="1:11" ht="13.5" thickBot="1">
      <c r="A2535" s="838" t="s">
        <v>1259</v>
      </c>
      <c r="B2535" s="839"/>
      <c r="C2535" s="839"/>
      <c r="D2535" s="839"/>
      <c r="E2535" s="839"/>
      <c r="F2535" s="840"/>
      <c r="G2535" s="103">
        <f>G2527+G2520</f>
        <v>630.25259999999992</v>
      </c>
    </row>
    <row r="2538" spans="1:11">
      <c r="A2538" s="237" t="s">
        <v>131</v>
      </c>
      <c r="B2538" s="190" t="s">
        <v>27</v>
      </c>
      <c r="C2538" s="841" t="s">
        <v>1281</v>
      </c>
      <c r="D2538" s="841"/>
      <c r="E2538" s="841"/>
      <c r="F2538" s="841"/>
      <c r="G2538" s="81" t="s">
        <v>127</v>
      </c>
      <c r="I2538" s="480" t="s">
        <v>1901</v>
      </c>
      <c r="J2538" s="80"/>
      <c r="K2538" s="80"/>
    </row>
    <row r="2539" spans="1:11" ht="50.1" customHeight="1">
      <c r="A2539" s="179" t="s">
        <v>651</v>
      </c>
      <c r="B2539" s="82"/>
      <c r="C2539" s="830" t="s">
        <v>652</v>
      </c>
      <c r="D2539" s="831"/>
      <c r="E2539" s="831"/>
      <c r="F2539" s="186">
        <f>G2559</f>
        <v>439.51307499999996</v>
      </c>
      <c r="G2539" s="83" t="s">
        <v>167</v>
      </c>
      <c r="I2539" s="481"/>
      <c r="J2539" s="272"/>
      <c r="K2539" s="272"/>
    </row>
    <row r="2540" spans="1:11">
      <c r="A2540" s="818" t="s">
        <v>1902</v>
      </c>
      <c r="B2540" s="819"/>
      <c r="C2540" s="819"/>
      <c r="D2540" s="819"/>
      <c r="E2540" s="819"/>
      <c r="F2540" s="819"/>
      <c r="G2540" s="820"/>
    </row>
    <row r="2541" spans="1:11">
      <c r="A2541" s="84" t="s">
        <v>1903</v>
      </c>
      <c r="B2541" s="84" t="s">
        <v>131</v>
      </c>
      <c r="C2541" s="160" t="s">
        <v>1904</v>
      </c>
      <c r="D2541" s="84" t="s">
        <v>167</v>
      </c>
      <c r="E2541" s="85" t="s">
        <v>1905</v>
      </c>
      <c r="F2541" s="86" t="s">
        <v>1906</v>
      </c>
      <c r="G2541" s="86" t="s">
        <v>1907</v>
      </c>
    </row>
    <row r="2542" spans="1:11" ht="36">
      <c r="A2542" s="87" t="s">
        <v>1917</v>
      </c>
      <c r="B2542" s="87" t="s">
        <v>2061</v>
      </c>
      <c r="C2542" s="278" t="s">
        <v>652</v>
      </c>
      <c r="D2542" s="89" t="s">
        <v>167</v>
      </c>
      <c r="E2542" s="88">
        <v>1</v>
      </c>
      <c r="F2542" s="89">
        <f>'Mapa Cotações'!M100</f>
        <v>194.26657499999999</v>
      </c>
      <c r="G2542" s="89">
        <f>F2542*E2542</f>
        <v>194.26657499999999</v>
      </c>
    </row>
    <row r="2543" spans="1:11" ht="24">
      <c r="A2543" s="87" t="s">
        <v>2</v>
      </c>
      <c r="B2543" s="87">
        <v>11002</v>
      </c>
      <c r="C2543" s="278" t="s">
        <v>2048</v>
      </c>
      <c r="D2543" s="89" t="s">
        <v>2049</v>
      </c>
      <c r="E2543" s="88">
        <v>0.2535</v>
      </c>
      <c r="F2543" s="89">
        <v>53.56</v>
      </c>
      <c r="G2543" s="89">
        <v>13.57746</v>
      </c>
    </row>
    <row r="2544" spans="1:11">
      <c r="A2544" s="832" t="s">
        <v>1908</v>
      </c>
      <c r="B2544" s="833"/>
      <c r="C2544" s="833"/>
      <c r="D2544" s="833"/>
      <c r="E2544" s="833"/>
      <c r="F2544" s="834"/>
      <c r="G2544" s="90">
        <f>SUM(G2542:G2543)</f>
        <v>207.84403499999999</v>
      </c>
    </row>
    <row r="2545" spans="1:7">
      <c r="A2545" s="91"/>
      <c r="B2545" s="92"/>
      <c r="C2545" s="161"/>
      <c r="D2545" s="93"/>
      <c r="E2545" s="94"/>
      <c r="F2545" s="95"/>
      <c r="G2545" s="96"/>
    </row>
    <row r="2546" spans="1:7">
      <c r="A2546" s="835" t="s">
        <v>1909</v>
      </c>
      <c r="B2546" s="836"/>
      <c r="C2546" s="836"/>
      <c r="D2546" s="836"/>
      <c r="E2546" s="836"/>
      <c r="F2546" s="836"/>
      <c r="G2546" s="837"/>
    </row>
    <row r="2547" spans="1:7">
      <c r="A2547" s="84" t="s">
        <v>1903</v>
      </c>
      <c r="B2547" s="84" t="s">
        <v>131</v>
      </c>
      <c r="C2547" s="160" t="s">
        <v>1904</v>
      </c>
      <c r="D2547" s="84" t="s">
        <v>167</v>
      </c>
      <c r="E2547" s="85" t="s">
        <v>1905</v>
      </c>
      <c r="F2547" s="86" t="s">
        <v>1906</v>
      </c>
      <c r="G2547" s="86" t="s">
        <v>1907</v>
      </c>
    </row>
    <row r="2548" spans="1:7" ht="24">
      <c r="A2548" s="87" t="s">
        <v>2</v>
      </c>
      <c r="B2548" s="87">
        <v>88248</v>
      </c>
      <c r="C2548" s="278" t="s">
        <v>1947</v>
      </c>
      <c r="D2548" s="89" t="s">
        <v>137</v>
      </c>
      <c r="E2548" s="88">
        <v>3.0640000000000001</v>
      </c>
      <c r="F2548" s="89">
        <v>21.45</v>
      </c>
      <c r="G2548" s="89">
        <v>65.722799999999992</v>
      </c>
    </row>
    <row r="2549" spans="1:7" ht="24">
      <c r="A2549" s="87" t="s">
        <v>2</v>
      </c>
      <c r="B2549" s="87">
        <v>88267</v>
      </c>
      <c r="C2549" s="278" t="s">
        <v>1949</v>
      </c>
      <c r="D2549" s="89" t="s">
        <v>137</v>
      </c>
      <c r="E2549" s="88">
        <v>3.0640000000000001</v>
      </c>
      <c r="F2549" s="89">
        <v>26.33</v>
      </c>
      <c r="G2549" s="89">
        <v>80.675119999999993</v>
      </c>
    </row>
    <row r="2550" spans="1:7">
      <c r="A2550" s="87" t="s">
        <v>2</v>
      </c>
      <c r="B2550" s="87">
        <v>88317</v>
      </c>
      <c r="C2550" s="278" t="s">
        <v>1970</v>
      </c>
      <c r="D2550" s="89" t="s">
        <v>137</v>
      </c>
      <c r="E2550" s="88">
        <v>3.0640000000000001</v>
      </c>
      <c r="F2550" s="89">
        <v>27.83</v>
      </c>
      <c r="G2550" s="89">
        <v>85.271119999999996</v>
      </c>
    </row>
    <row r="2551" spans="1:7">
      <c r="A2551" s="832" t="s">
        <v>1908</v>
      </c>
      <c r="B2551" s="833"/>
      <c r="C2551" s="833"/>
      <c r="D2551" s="833"/>
      <c r="E2551" s="833"/>
      <c r="F2551" s="834"/>
      <c r="G2551" s="90">
        <f>SUM(G2548:G2550)</f>
        <v>231.66904</v>
      </c>
    </row>
    <row r="2552" spans="1:7">
      <c r="A2552" s="91"/>
      <c r="B2552" s="92"/>
      <c r="C2552" s="162"/>
      <c r="D2552" s="92"/>
      <c r="E2552" s="97"/>
      <c r="F2552" s="98"/>
      <c r="G2552" s="96"/>
    </row>
    <row r="2553" spans="1:7">
      <c r="A2553" s="835" t="s">
        <v>1912</v>
      </c>
      <c r="B2553" s="836"/>
      <c r="C2553" s="836"/>
      <c r="D2553" s="836"/>
      <c r="E2553" s="836"/>
      <c r="F2553" s="836"/>
      <c r="G2553" s="837"/>
    </row>
    <row r="2554" spans="1:7">
      <c r="A2554" s="84" t="s">
        <v>1903</v>
      </c>
      <c r="B2554" s="84" t="s">
        <v>131</v>
      </c>
      <c r="C2554" s="160" t="s">
        <v>1904</v>
      </c>
      <c r="D2554" s="84" t="s">
        <v>167</v>
      </c>
      <c r="E2554" s="85" t="s">
        <v>1905</v>
      </c>
      <c r="F2554" s="86" t="s">
        <v>1906</v>
      </c>
      <c r="G2554" s="86" t="s">
        <v>1907</v>
      </c>
    </row>
    <row r="2555" spans="1:7">
      <c r="A2555" s="87"/>
      <c r="B2555" s="87"/>
      <c r="C2555" s="278" t="s">
        <v>34</v>
      </c>
      <c r="D2555" s="89" t="s">
        <v>34</v>
      </c>
      <c r="E2555" s="88"/>
      <c r="F2555" s="89" t="s">
        <v>34</v>
      </c>
      <c r="G2555" s="89" t="s">
        <v>34</v>
      </c>
    </row>
    <row r="2556" spans="1:7">
      <c r="A2556" s="87"/>
      <c r="B2556" s="87"/>
      <c r="C2556" s="278" t="s">
        <v>34</v>
      </c>
      <c r="D2556" s="89" t="s">
        <v>34</v>
      </c>
      <c r="E2556" s="88"/>
      <c r="F2556" s="89" t="s">
        <v>34</v>
      </c>
      <c r="G2556" s="89" t="s">
        <v>34</v>
      </c>
    </row>
    <row r="2557" spans="1:7">
      <c r="A2557" s="832" t="s">
        <v>1908</v>
      </c>
      <c r="B2557" s="833" t="s">
        <v>1908</v>
      </c>
      <c r="C2557" s="833"/>
      <c r="D2557" s="833"/>
      <c r="E2557" s="833"/>
      <c r="F2557" s="834"/>
      <c r="G2557" s="90" t="s">
        <v>34</v>
      </c>
    </row>
    <row r="2558" spans="1:7" ht="13.5" thickBot="1">
      <c r="A2558" s="91"/>
      <c r="B2558" s="92"/>
      <c r="C2558" s="163"/>
      <c r="D2558" s="99"/>
      <c r="E2558" s="100"/>
      <c r="F2558" s="101"/>
      <c r="G2558" s="102"/>
    </row>
    <row r="2559" spans="1:7" ht="13.5" thickBot="1">
      <c r="A2559" s="838" t="s">
        <v>1259</v>
      </c>
      <c r="B2559" s="839"/>
      <c r="C2559" s="839"/>
      <c r="D2559" s="839"/>
      <c r="E2559" s="839"/>
      <c r="F2559" s="840"/>
      <c r="G2559" s="103">
        <f>G2551+G2544</f>
        <v>439.51307499999996</v>
      </c>
    </row>
    <row r="2562" spans="1:11">
      <c r="A2562" s="237" t="s">
        <v>131</v>
      </c>
      <c r="B2562" s="190" t="s">
        <v>27</v>
      </c>
      <c r="C2562" s="841" t="s">
        <v>1281</v>
      </c>
      <c r="D2562" s="841"/>
      <c r="E2562" s="841"/>
      <c r="F2562" s="841"/>
      <c r="G2562" s="81" t="s">
        <v>127</v>
      </c>
      <c r="I2562" s="480" t="s">
        <v>1901</v>
      </c>
      <c r="J2562" s="80"/>
      <c r="K2562" s="80"/>
    </row>
    <row r="2563" spans="1:11" ht="50.1" customHeight="1">
      <c r="A2563" s="179" t="s">
        <v>654</v>
      </c>
      <c r="B2563" s="82"/>
      <c r="C2563" s="830" t="s">
        <v>655</v>
      </c>
      <c r="D2563" s="831"/>
      <c r="E2563" s="831"/>
      <c r="F2563" s="186">
        <f>G2583</f>
        <v>269.04545999999999</v>
      </c>
      <c r="G2563" s="83" t="s">
        <v>167</v>
      </c>
      <c r="I2563" s="481"/>
      <c r="J2563" s="272"/>
      <c r="K2563" s="272"/>
    </row>
    <row r="2564" spans="1:11">
      <c r="A2564" s="818" t="s">
        <v>1902</v>
      </c>
      <c r="B2564" s="819"/>
      <c r="C2564" s="819"/>
      <c r="D2564" s="819"/>
      <c r="E2564" s="819"/>
      <c r="F2564" s="819"/>
      <c r="G2564" s="820"/>
    </row>
    <row r="2565" spans="1:11">
      <c r="A2565" s="84" t="s">
        <v>1903</v>
      </c>
      <c r="B2565" s="84" t="s">
        <v>131</v>
      </c>
      <c r="C2565" s="160" t="s">
        <v>1904</v>
      </c>
      <c r="D2565" s="84" t="s">
        <v>167</v>
      </c>
      <c r="E2565" s="85" t="s">
        <v>1905</v>
      </c>
      <c r="F2565" s="86" t="s">
        <v>1906</v>
      </c>
      <c r="G2565" s="86" t="s">
        <v>1907</v>
      </c>
    </row>
    <row r="2566" spans="1:11" ht="36">
      <c r="A2566" s="87" t="s">
        <v>1917</v>
      </c>
      <c r="B2566" s="87" t="s">
        <v>2062</v>
      </c>
      <c r="C2566" s="278" t="s">
        <v>655</v>
      </c>
      <c r="D2566" s="89" t="s">
        <v>167</v>
      </c>
      <c r="E2566" s="88">
        <v>1</v>
      </c>
      <c r="F2566" s="89">
        <f>'Mapa Cotações'!M101</f>
        <v>145.9</v>
      </c>
      <c r="G2566" s="89">
        <f>F2566*E2566</f>
        <v>145.9</v>
      </c>
    </row>
    <row r="2567" spans="1:11" ht="24">
      <c r="A2567" s="87" t="s">
        <v>2</v>
      </c>
      <c r="B2567" s="87">
        <v>11002</v>
      </c>
      <c r="C2567" s="278" t="s">
        <v>2048</v>
      </c>
      <c r="D2567" s="89" t="s">
        <v>2049</v>
      </c>
      <c r="E2567" s="88">
        <v>0.13650000000000001</v>
      </c>
      <c r="F2567" s="89">
        <v>53.56</v>
      </c>
      <c r="G2567" s="89">
        <v>7.3109400000000004</v>
      </c>
    </row>
    <row r="2568" spans="1:11">
      <c r="A2568" s="832" t="s">
        <v>1908</v>
      </c>
      <c r="B2568" s="833"/>
      <c r="C2568" s="833"/>
      <c r="D2568" s="833"/>
      <c r="E2568" s="833"/>
      <c r="F2568" s="834"/>
      <c r="G2568" s="90">
        <f>SUM(G2566:G2567)</f>
        <v>153.21093999999999</v>
      </c>
    </row>
    <row r="2569" spans="1:11">
      <c r="A2569" s="91"/>
      <c r="B2569" s="92"/>
      <c r="C2569" s="161"/>
      <c r="D2569" s="93"/>
      <c r="E2569" s="94"/>
      <c r="F2569" s="95"/>
      <c r="G2569" s="96"/>
    </row>
    <row r="2570" spans="1:11">
      <c r="A2570" s="835" t="s">
        <v>1909</v>
      </c>
      <c r="B2570" s="836"/>
      <c r="C2570" s="836"/>
      <c r="D2570" s="836"/>
      <c r="E2570" s="836"/>
      <c r="F2570" s="836"/>
      <c r="G2570" s="837"/>
    </row>
    <row r="2571" spans="1:11">
      <c r="A2571" s="84" t="s">
        <v>1903</v>
      </c>
      <c r="B2571" s="84" t="s">
        <v>131</v>
      </c>
      <c r="C2571" s="160" t="s">
        <v>1904</v>
      </c>
      <c r="D2571" s="84" t="s">
        <v>167</v>
      </c>
      <c r="E2571" s="85" t="s">
        <v>1905</v>
      </c>
      <c r="F2571" s="86" t="s">
        <v>1906</v>
      </c>
      <c r="G2571" s="86" t="s">
        <v>1907</v>
      </c>
    </row>
    <row r="2572" spans="1:11" ht="24">
      <c r="A2572" s="87" t="s">
        <v>2</v>
      </c>
      <c r="B2572" s="87">
        <v>88248</v>
      </c>
      <c r="C2572" s="278" t="s">
        <v>1947</v>
      </c>
      <c r="D2572" s="89" t="s">
        <v>137</v>
      </c>
      <c r="E2572" s="88">
        <v>1.532</v>
      </c>
      <c r="F2572" s="89">
        <v>21.45</v>
      </c>
      <c r="G2572" s="89">
        <v>32.861399999999996</v>
      </c>
    </row>
    <row r="2573" spans="1:11" ht="24">
      <c r="A2573" s="87" t="s">
        <v>2</v>
      </c>
      <c r="B2573" s="87">
        <v>88267</v>
      </c>
      <c r="C2573" s="278" t="s">
        <v>1949</v>
      </c>
      <c r="D2573" s="89" t="s">
        <v>137</v>
      </c>
      <c r="E2573" s="88">
        <v>1.532</v>
      </c>
      <c r="F2573" s="89">
        <v>26.33</v>
      </c>
      <c r="G2573" s="89">
        <v>40.337559999999996</v>
      </c>
    </row>
    <row r="2574" spans="1:11">
      <c r="A2574" s="87" t="s">
        <v>2</v>
      </c>
      <c r="B2574" s="87">
        <v>88317</v>
      </c>
      <c r="C2574" s="278" t="s">
        <v>1970</v>
      </c>
      <c r="D2574" s="89" t="s">
        <v>137</v>
      </c>
      <c r="E2574" s="88">
        <v>1.532</v>
      </c>
      <c r="F2574" s="89">
        <v>27.83</v>
      </c>
      <c r="G2574" s="89">
        <v>42.635559999999998</v>
      </c>
    </row>
    <row r="2575" spans="1:11">
      <c r="A2575" s="832" t="s">
        <v>1908</v>
      </c>
      <c r="B2575" s="833"/>
      <c r="C2575" s="833"/>
      <c r="D2575" s="833"/>
      <c r="E2575" s="833"/>
      <c r="F2575" s="834"/>
      <c r="G2575" s="90">
        <f>SUM(G2572:G2574)</f>
        <v>115.83452</v>
      </c>
    </row>
    <row r="2576" spans="1:11">
      <c r="A2576" s="91"/>
      <c r="B2576" s="92"/>
      <c r="C2576" s="162"/>
      <c r="D2576" s="92"/>
      <c r="E2576" s="97"/>
      <c r="F2576" s="98"/>
      <c r="G2576" s="96"/>
    </row>
    <row r="2577" spans="1:11">
      <c r="A2577" s="835" t="s">
        <v>1912</v>
      </c>
      <c r="B2577" s="836"/>
      <c r="C2577" s="836"/>
      <c r="D2577" s="836"/>
      <c r="E2577" s="836"/>
      <c r="F2577" s="836"/>
      <c r="G2577" s="837"/>
    </row>
    <row r="2578" spans="1:11">
      <c r="A2578" s="84" t="s">
        <v>1903</v>
      </c>
      <c r="B2578" s="84" t="s">
        <v>131</v>
      </c>
      <c r="C2578" s="160" t="s">
        <v>1904</v>
      </c>
      <c r="D2578" s="84" t="s">
        <v>167</v>
      </c>
      <c r="E2578" s="85" t="s">
        <v>1905</v>
      </c>
      <c r="F2578" s="86" t="s">
        <v>1906</v>
      </c>
      <c r="G2578" s="86" t="s">
        <v>1907</v>
      </c>
    </row>
    <row r="2579" spans="1:11">
      <c r="A2579" s="87"/>
      <c r="B2579" s="87"/>
      <c r="C2579" s="278" t="s">
        <v>34</v>
      </c>
      <c r="D2579" s="89" t="s">
        <v>34</v>
      </c>
      <c r="E2579" s="88"/>
      <c r="F2579" s="89" t="s">
        <v>34</v>
      </c>
      <c r="G2579" s="89" t="s">
        <v>34</v>
      </c>
    </row>
    <row r="2580" spans="1:11">
      <c r="A2580" s="87"/>
      <c r="B2580" s="87"/>
      <c r="C2580" s="278" t="s">
        <v>34</v>
      </c>
      <c r="D2580" s="89" t="s">
        <v>34</v>
      </c>
      <c r="E2580" s="88"/>
      <c r="F2580" s="89" t="s">
        <v>34</v>
      </c>
      <c r="G2580" s="89" t="s">
        <v>34</v>
      </c>
    </row>
    <row r="2581" spans="1:11">
      <c r="A2581" s="832" t="s">
        <v>1908</v>
      </c>
      <c r="B2581" s="833" t="s">
        <v>1908</v>
      </c>
      <c r="C2581" s="833"/>
      <c r="D2581" s="833"/>
      <c r="E2581" s="833"/>
      <c r="F2581" s="834"/>
      <c r="G2581" s="90" t="s">
        <v>34</v>
      </c>
    </row>
    <row r="2582" spans="1:11" ht="13.5" thickBot="1">
      <c r="A2582" s="91"/>
      <c r="B2582" s="92"/>
      <c r="C2582" s="163"/>
      <c r="D2582" s="99"/>
      <c r="E2582" s="100"/>
      <c r="F2582" s="101"/>
      <c r="G2582" s="102"/>
    </row>
    <row r="2583" spans="1:11" ht="13.5" thickBot="1">
      <c r="A2583" s="838" t="s">
        <v>1259</v>
      </c>
      <c r="B2583" s="839"/>
      <c r="C2583" s="839"/>
      <c r="D2583" s="839"/>
      <c r="E2583" s="839"/>
      <c r="F2583" s="840"/>
      <c r="G2583" s="103">
        <f>G2575+G2568</f>
        <v>269.04545999999999</v>
      </c>
    </row>
    <row r="2586" spans="1:11">
      <c r="A2586" s="237" t="s">
        <v>131</v>
      </c>
      <c r="B2586" s="190" t="s">
        <v>27</v>
      </c>
      <c r="C2586" s="841" t="s">
        <v>1281</v>
      </c>
      <c r="D2586" s="841"/>
      <c r="E2586" s="841"/>
      <c r="F2586" s="841"/>
      <c r="G2586" s="81" t="s">
        <v>127</v>
      </c>
      <c r="I2586" s="480" t="s">
        <v>1901</v>
      </c>
      <c r="J2586" s="80"/>
      <c r="K2586" s="80"/>
    </row>
    <row r="2587" spans="1:11" ht="50.1" customHeight="1">
      <c r="A2587" s="179" t="s">
        <v>657</v>
      </c>
      <c r="B2587" s="82"/>
      <c r="C2587" s="830" t="s">
        <v>658</v>
      </c>
      <c r="D2587" s="831"/>
      <c r="E2587" s="831"/>
      <c r="F2587" s="186">
        <f>G2607</f>
        <v>388.08597999999995</v>
      </c>
      <c r="G2587" s="83" t="s">
        <v>167</v>
      </c>
      <c r="I2587" s="481"/>
      <c r="J2587" s="272"/>
      <c r="K2587" s="272"/>
    </row>
    <row r="2588" spans="1:11">
      <c r="A2588" s="818" t="s">
        <v>1902</v>
      </c>
      <c r="B2588" s="819"/>
      <c r="C2588" s="819"/>
      <c r="D2588" s="819"/>
      <c r="E2588" s="819"/>
      <c r="F2588" s="819"/>
      <c r="G2588" s="820"/>
    </row>
    <row r="2589" spans="1:11">
      <c r="A2589" s="84" t="s">
        <v>1903</v>
      </c>
      <c r="B2589" s="84" t="s">
        <v>131</v>
      </c>
      <c r="C2589" s="160" t="s">
        <v>1904</v>
      </c>
      <c r="D2589" s="84" t="s">
        <v>167</v>
      </c>
      <c r="E2589" s="85" t="s">
        <v>1905</v>
      </c>
      <c r="F2589" s="86" t="s">
        <v>1906</v>
      </c>
      <c r="G2589" s="86" t="s">
        <v>1907</v>
      </c>
    </row>
    <row r="2590" spans="1:11" ht="36">
      <c r="A2590" s="87" t="s">
        <v>1917</v>
      </c>
      <c r="B2590" s="87" t="s">
        <v>2063</v>
      </c>
      <c r="C2590" s="278" t="s">
        <v>658</v>
      </c>
      <c r="D2590" s="89" t="s">
        <v>167</v>
      </c>
      <c r="E2590" s="88">
        <v>1</v>
      </c>
      <c r="F2590" s="89">
        <f>'Mapa Cotações'!M102</f>
        <v>203.89</v>
      </c>
      <c r="G2590" s="89">
        <f>F2590*E2590</f>
        <v>203.89</v>
      </c>
    </row>
    <row r="2591" spans="1:11" ht="24">
      <c r="A2591" s="87" t="s">
        <v>2</v>
      </c>
      <c r="B2591" s="87">
        <v>11002</v>
      </c>
      <c r="C2591" s="278" t="s">
        <v>2048</v>
      </c>
      <c r="D2591" s="89" t="s">
        <v>2049</v>
      </c>
      <c r="E2591" s="88">
        <v>0.19500000000000001</v>
      </c>
      <c r="F2591" s="89">
        <v>53.56</v>
      </c>
      <c r="G2591" s="89">
        <v>10.4442</v>
      </c>
    </row>
    <row r="2592" spans="1:11">
      <c r="A2592" s="832" t="s">
        <v>1908</v>
      </c>
      <c r="B2592" s="833"/>
      <c r="C2592" s="833"/>
      <c r="D2592" s="833"/>
      <c r="E2592" s="833"/>
      <c r="F2592" s="834"/>
      <c r="G2592" s="90">
        <f>SUM(G2590:G2591)</f>
        <v>214.33419999999998</v>
      </c>
    </row>
    <row r="2593" spans="1:7">
      <c r="A2593" s="91"/>
      <c r="B2593" s="92"/>
      <c r="C2593" s="161"/>
      <c r="D2593" s="93"/>
      <c r="E2593" s="94"/>
      <c r="F2593" s="95"/>
      <c r="G2593" s="96"/>
    </row>
    <row r="2594" spans="1:7">
      <c r="A2594" s="835" t="s">
        <v>1909</v>
      </c>
      <c r="B2594" s="836"/>
      <c r="C2594" s="836"/>
      <c r="D2594" s="836"/>
      <c r="E2594" s="836"/>
      <c r="F2594" s="836"/>
      <c r="G2594" s="837"/>
    </row>
    <row r="2595" spans="1:7">
      <c r="A2595" s="84" t="s">
        <v>1903</v>
      </c>
      <c r="B2595" s="84" t="s">
        <v>131</v>
      </c>
      <c r="C2595" s="160" t="s">
        <v>1904</v>
      </c>
      <c r="D2595" s="84" t="s">
        <v>167</v>
      </c>
      <c r="E2595" s="85" t="s">
        <v>1905</v>
      </c>
      <c r="F2595" s="86" t="s">
        <v>1906</v>
      </c>
      <c r="G2595" s="86" t="s">
        <v>1907</v>
      </c>
    </row>
    <row r="2596" spans="1:7" ht="24">
      <c r="A2596" s="87" t="s">
        <v>2</v>
      </c>
      <c r="B2596" s="87">
        <v>88248</v>
      </c>
      <c r="C2596" s="278" t="s">
        <v>1947</v>
      </c>
      <c r="D2596" s="89" t="s">
        <v>137</v>
      </c>
      <c r="E2596" s="88">
        <v>2.298</v>
      </c>
      <c r="F2596" s="89">
        <v>21.45</v>
      </c>
      <c r="G2596" s="89">
        <v>49.292099999999998</v>
      </c>
    </row>
    <row r="2597" spans="1:7" ht="24">
      <c r="A2597" s="87" t="s">
        <v>2</v>
      </c>
      <c r="B2597" s="87">
        <v>88267</v>
      </c>
      <c r="C2597" s="278" t="s">
        <v>1949</v>
      </c>
      <c r="D2597" s="89" t="s">
        <v>137</v>
      </c>
      <c r="E2597" s="88">
        <v>2.298</v>
      </c>
      <c r="F2597" s="89">
        <v>26.33</v>
      </c>
      <c r="G2597" s="89">
        <v>60.506339999999994</v>
      </c>
    </row>
    <row r="2598" spans="1:7">
      <c r="A2598" s="87" t="s">
        <v>2</v>
      </c>
      <c r="B2598" s="87">
        <v>88317</v>
      </c>
      <c r="C2598" s="278" t="s">
        <v>1970</v>
      </c>
      <c r="D2598" s="89" t="s">
        <v>137</v>
      </c>
      <c r="E2598" s="88">
        <v>2.298</v>
      </c>
      <c r="F2598" s="89">
        <v>27.83</v>
      </c>
      <c r="G2598" s="89">
        <v>63.953339999999997</v>
      </c>
    </row>
    <row r="2599" spans="1:7">
      <c r="A2599" s="832" t="s">
        <v>1908</v>
      </c>
      <c r="B2599" s="833"/>
      <c r="C2599" s="833"/>
      <c r="D2599" s="833"/>
      <c r="E2599" s="833"/>
      <c r="F2599" s="834"/>
      <c r="G2599" s="90">
        <f>SUM(G2596:G2598)</f>
        <v>173.75178</v>
      </c>
    </row>
    <row r="2600" spans="1:7">
      <c r="A2600" s="91"/>
      <c r="B2600" s="92"/>
      <c r="C2600" s="162"/>
      <c r="D2600" s="92"/>
      <c r="E2600" s="97"/>
      <c r="F2600" s="98"/>
      <c r="G2600" s="96"/>
    </row>
    <row r="2601" spans="1:7">
      <c r="A2601" s="835" t="s">
        <v>1912</v>
      </c>
      <c r="B2601" s="836"/>
      <c r="C2601" s="836"/>
      <c r="D2601" s="836"/>
      <c r="E2601" s="836"/>
      <c r="F2601" s="836"/>
      <c r="G2601" s="837"/>
    </row>
    <row r="2602" spans="1:7">
      <c r="A2602" s="84" t="s">
        <v>1903</v>
      </c>
      <c r="B2602" s="84" t="s">
        <v>131</v>
      </c>
      <c r="C2602" s="160" t="s">
        <v>1904</v>
      </c>
      <c r="D2602" s="84" t="s">
        <v>167</v>
      </c>
      <c r="E2602" s="85" t="s">
        <v>1905</v>
      </c>
      <c r="F2602" s="86" t="s">
        <v>1906</v>
      </c>
      <c r="G2602" s="86" t="s">
        <v>1907</v>
      </c>
    </row>
    <row r="2603" spans="1:7">
      <c r="A2603" s="87"/>
      <c r="B2603" s="87"/>
      <c r="C2603" s="278" t="s">
        <v>34</v>
      </c>
      <c r="D2603" s="89" t="s">
        <v>34</v>
      </c>
      <c r="E2603" s="88"/>
      <c r="F2603" s="89" t="s">
        <v>34</v>
      </c>
      <c r="G2603" s="89" t="s">
        <v>34</v>
      </c>
    </row>
    <row r="2604" spans="1:7">
      <c r="A2604" s="87"/>
      <c r="B2604" s="87"/>
      <c r="C2604" s="278" t="s">
        <v>34</v>
      </c>
      <c r="D2604" s="89" t="s">
        <v>34</v>
      </c>
      <c r="E2604" s="88"/>
      <c r="F2604" s="89" t="s">
        <v>34</v>
      </c>
      <c r="G2604" s="89" t="s">
        <v>34</v>
      </c>
    </row>
    <row r="2605" spans="1:7">
      <c r="A2605" s="832" t="s">
        <v>1908</v>
      </c>
      <c r="B2605" s="833" t="s">
        <v>1908</v>
      </c>
      <c r="C2605" s="833"/>
      <c r="D2605" s="833"/>
      <c r="E2605" s="833"/>
      <c r="F2605" s="834"/>
      <c r="G2605" s="90" t="s">
        <v>34</v>
      </c>
    </row>
    <row r="2606" spans="1:7" ht="13.5" thickBot="1">
      <c r="A2606" s="91"/>
      <c r="B2606" s="92"/>
      <c r="C2606" s="163"/>
      <c r="D2606" s="99"/>
      <c r="E2606" s="100"/>
      <c r="F2606" s="101"/>
      <c r="G2606" s="102"/>
    </row>
    <row r="2607" spans="1:7" ht="13.5" thickBot="1">
      <c r="A2607" s="838" t="s">
        <v>1259</v>
      </c>
      <c r="B2607" s="839"/>
      <c r="C2607" s="839"/>
      <c r="D2607" s="839"/>
      <c r="E2607" s="839"/>
      <c r="F2607" s="840"/>
      <c r="G2607" s="103">
        <f>G2599+G2592</f>
        <v>388.08597999999995</v>
      </c>
    </row>
    <row r="2610" spans="1:11">
      <c r="A2610" s="237" t="s">
        <v>131</v>
      </c>
      <c r="B2610" s="190" t="s">
        <v>27</v>
      </c>
      <c r="C2610" s="841" t="s">
        <v>1281</v>
      </c>
      <c r="D2610" s="841"/>
      <c r="E2610" s="841"/>
      <c r="F2610" s="841"/>
      <c r="G2610" s="81" t="s">
        <v>127</v>
      </c>
      <c r="I2610" s="480" t="s">
        <v>1901</v>
      </c>
      <c r="J2610" s="80"/>
      <c r="K2610" s="80"/>
    </row>
    <row r="2611" spans="1:11" ht="50.1" customHeight="1">
      <c r="A2611" s="179" t="s">
        <v>660</v>
      </c>
      <c r="B2611" s="82"/>
      <c r="C2611" s="830" t="s">
        <v>661</v>
      </c>
      <c r="D2611" s="831"/>
      <c r="E2611" s="831"/>
      <c r="F2611" s="186">
        <f>G2631</f>
        <v>334.04292999999996</v>
      </c>
      <c r="G2611" s="83" t="s">
        <v>167</v>
      </c>
      <c r="I2611" s="481"/>
      <c r="J2611" s="272"/>
      <c r="K2611" s="272"/>
    </row>
    <row r="2612" spans="1:11">
      <c r="A2612" s="818" t="s">
        <v>1902</v>
      </c>
      <c r="B2612" s="819"/>
      <c r="C2612" s="819"/>
      <c r="D2612" s="819"/>
      <c r="E2612" s="819"/>
      <c r="F2612" s="819"/>
      <c r="G2612" s="820"/>
    </row>
    <row r="2613" spans="1:11">
      <c r="A2613" s="84" t="s">
        <v>1903</v>
      </c>
      <c r="B2613" s="84" t="s">
        <v>131</v>
      </c>
      <c r="C2613" s="160" t="s">
        <v>1904</v>
      </c>
      <c r="D2613" s="84" t="s">
        <v>167</v>
      </c>
      <c r="E2613" s="85" t="s">
        <v>1905</v>
      </c>
      <c r="F2613" s="86" t="s">
        <v>1906</v>
      </c>
      <c r="G2613" s="86" t="s">
        <v>1907</v>
      </c>
    </row>
    <row r="2614" spans="1:11" ht="36">
      <c r="A2614" s="87" t="s">
        <v>1917</v>
      </c>
      <c r="B2614" s="87" t="s">
        <v>2064</v>
      </c>
      <c r="C2614" s="278" t="s">
        <v>661</v>
      </c>
      <c r="D2614" s="89" t="s">
        <v>167</v>
      </c>
      <c r="E2614" s="88">
        <v>1</v>
      </c>
      <c r="F2614" s="89">
        <f>'Mapa Cotações'!M103</f>
        <v>179.85</v>
      </c>
      <c r="G2614" s="89">
        <f>F2614*E2614</f>
        <v>179.85</v>
      </c>
    </row>
    <row r="2615" spans="1:11" ht="24">
      <c r="A2615" s="87" t="s">
        <v>2</v>
      </c>
      <c r="B2615" s="87">
        <v>11002</v>
      </c>
      <c r="C2615" s="278" t="s">
        <v>2048</v>
      </c>
      <c r="D2615" s="89" t="s">
        <v>2049</v>
      </c>
      <c r="E2615" s="88">
        <v>0.17549999999999999</v>
      </c>
      <c r="F2615" s="89">
        <v>53.56</v>
      </c>
      <c r="G2615" s="89">
        <v>9.3997799999999998</v>
      </c>
    </row>
    <row r="2616" spans="1:11">
      <c r="A2616" s="832" t="s">
        <v>1908</v>
      </c>
      <c r="B2616" s="833"/>
      <c r="C2616" s="833"/>
      <c r="D2616" s="833"/>
      <c r="E2616" s="833"/>
      <c r="F2616" s="834"/>
      <c r="G2616" s="90">
        <f>SUM(G2614:G2615)</f>
        <v>189.24977999999999</v>
      </c>
    </row>
    <row r="2617" spans="1:11">
      <c r="A2617" s="91"/>
      <c r="B2617" s="92"/>
      <c r="C2617" s="161"/>
      <c r="D2617" s="93"/>
      <c r="E2617" s="94"/>
      <c r="F2617" s="95"/>
      <c r="G2617" s="96"/>
    </row>
    <row r="2618" spans="1:11">
      <c r="A2618" s="835" t="s">
        <v>1909</v>
      </c>
      <c r="B2618" s="836"/>
      <c r="C2618" s="836"/>
      <c r="D2618" s="836"/>
      <c r="E2618" s="836"/>
      <c r="F2618" s="836"/>
      <c r="G2618" s="837"/>
    </row>
    <row r="2619" spans="1:11">
      <c r="A2619" s="84" t="s">
        <v>1903</v>
      </c>
      <c r="B2619" s="84" t="s">
        <v>131</v>
      </c>
      <c r="C2619" s="160" t="s">
        <v>1904</v>
      </c>
      <c r="D2619" s="84" t="s">
        <v>167</v>
      </c>
      <c r="E2619" s="85" t="s">
        <v>1905</v>
      </c>
      <c r="F2619" s="86" t="s">
        <v>1906</v>
      </c>
      <c r="G2619" s="86" t="s">
        <v>1907</v>
      </c>
    </row>
    <row r="2620" spans="1:11" ht="24">
      <c r="A2620" s="87" t="s">
        <v>2</v>
      </c>
      <c r="B2620" s="87">
        <v>88248</v>
      </c>
      <c r="C2620" s="278" t="s">
        <v>1947</v>
      </c>
      <c r="D2620" s="89" t="s">
        <v>137</v>
      </c>
      <c r="E2620" s="88">
        <v>1.915</v>
      </c>
      <c r="F2620" s="89">
        <v>21.45</v>
      </c>
      <c r="G2620" s="89">
        <v>41.076749999999997</v>
      </c>
    </row>
    <row r="2621" spans="1:11" ht="24">
      <c r="A2621" s="87" t="s">
        <v>2</v>
      </c>
      <c r="B2621" s="87">
        <v>88267</v>
      </c>
      <c r="C2621" s="278" t="s">
        <v>1949</v>
      </c>
      <c r="D2621" s="89" t="s">
        <v>137</v>
      </c>
      <c r="E2621" s="88">
        <v>1.915</v>
      </c>
      <c r="F2621" s="89">
        <v>26.33</v>
      </c>
      <c r="G2621" s="89">
        <v>50.421949999999995</v>
      </c>
    </row>
    <row r="2622" spans="1:11">
      <c r="A2622" s="87" t="s">
        <v>2</v>
      </c>
      <c r="B2622" s="87">
        <v>88317</v>
      </c>
      <c r="C2622" s="278" t="s">
        <v>1970</v>
      </c>
      <c r="D2622" s="89" t="s">
        <v>137</v>
      </c>
      <c r="E2622" s="88">
        <v>1.915</v>
      </c>
      <c r="F2622" s="89">
        <v>27.83</v>
      </c>
      <c r="G2622" s="89">
        <v>53.294449999999998</v>
      </c>
    </row>
    <row r="2623" spans="1:11">
      <c r="A2623" s="832" t="s">
        <v>1908</v>
      </c>
      <c r="B2623" s="833"/>
      <c r="C2623" s="833"/>
      <c r="D2623" s="833"/>
      <c r="E2623" s="833"/>
      <c r="F2623" s="834"/>
      <c r="G2623" s="90">
        <f>SUM(G2620:G2622)</f>
        <v>144.79314999999997</v>
      </c>
    </row>
    <row r="2624" spans="1:11">
      <c r="A2624" s="91"/>
      <c r="B2624" s="92"/>
      <c r="C2624" s="162"/>
      <c r="D2624" s="92"/>
      <c r="E2624" s="97"/>
      <c r="F2624" s="98"/>
      <c r="G2624" s="96"/>
    </row>
    <row r="2625" spans="1:11">
      <c r="A2625" s="835" t="s">
        <v>1912</v>
      </c>
      <c r="B2625" s="836"/>
      <c r="C2625" s="836"/>
      <c r="D2625" s="836"/>
      <c r="E2625" s="836"/>
      <c r="F2625" s="836"/>
      <c r="G2625" s="837"/>
    </row>
    <row r="2626" spans="1:11">
      <c r="A2626" s="84" t="s">
        <v>1903</v>
      </c>
      <c r="B2626" s="84" t="s">
        <v>131</v>
      </c>
      <c r="C2626" s="160" t="s">
        <v>1904</v>
      </c>
      <c r="D2626" s="84" t="s">
        <v>167</v>
      </c>
      <c r="E2626" s="85" t="s">
        <v>1905</v>
      </c>
      <c r="F2626" s="86" t="s">
        <v>1906</v>
      </c>
      <c r="G2626" s="86" t="s">
        <v>1907</v>
      </c>
    </row>
    <row r="2627" spans="1:11">
      <c r="A2627" s="87"/>
      <c r="B2627" s="87"/>
      <c r="C2627" s="278" t="s">
        <v>34</v>
      </c>
      <c r="D2627" s="89" t="s">
        <v>34</v>
      </c>
      <c r="E2627" s="88"/>
      <c r="F2627" s="89" t="s">
        <v>34</v>
      </c>
      <c r="G2627" s="89" t="s">
        <v>34</v>
      </c>
    </row>
    <row r="2628" spans="1:11">
      <c r="A2628" s="87"/>
      <c r="B2628" s="87"/>
      <c r="C2628" s="278" t="s">
        <v>34</v>
      </c>
      <c r="D2628" s="89" t="s">
        <v>34</v>
      </c>
      <c r="E2628" s="88"/>
      <c r="F2628" s="89" t="s">
        <v>34</v>
      </c>
      <c r="G2628" s="89" t="s">
        <v>34</v>
      </c>
    </row>
    <row r="2629" spans="1:11">
      <c r="A2629" s="832" t="s">
        <v>1908</v>
      </c>
      <c r="B2629" s="833" t="s">
        <v>1908</v>
      </c>
      <c r="C2629" s="833"/>
      <c r="D2629" s="833"/>
      <c r="E2629" s="833"/>
      <c r="F2629" s="834"/>
      <c r="G2629" s="90" t="s">
        <v>34</v>
      </c>
    </row>
    <row r="2630" spans="1:11" ht="13.5" thickBot="1">
      <c r="A2630" s="91"/>
      <c r="B2630" s="92"/>
      <c r="C2630" s="163"/>
      <c r="D2630" s="99"/>
      <c r="E2630" s="100"/>
      <c r="F2630" s="101"/>
      <c r="G2630" s="102"/>
    </row>
    <row r="2631" spans="1:11" ht="13.5" thickBot="1">
      <c r="A2631" s="838" t="s">
        <v>1259</v>
      </c>
      <c r="B2631" s="839"/>
      <c r="C2631" s="839"/>
      <c r="D2631" s="839"/>
      <c r="E2631" s="839"/>
      <c r="F2631" s="840"/>
      <c r="G2631" s="103">
        <f>G2623+G2616</f>
        <v>334.04292999999996</v>
      </c>
    </row>
    <row r="2634" spans="1:11">
      <c r="A2634" s="237" t="s">
        <v>131</v>
      </c>
      <c r="B2634" s="190" t="s">
        <v>27</v>
      </c>
      <c r="C2634" s="841" t="s">
        <v>1281</v>
      </c>
      <c r="D2634" s="841"/>
      <c r="E2634" s="841"/>
      <c r="F2634" s="841"/>
      <c r="G2634" s="81" t="s">
        <v>127</v>
      </c>
      <c r="I2634" s="480" t="s">
        <v>1901</v>
      </c>
      <c r="J2634" s="80"/>
      <c r="K2634" s="80"/>
    </row>
    <row r="2635" spans="1:11" ht="50.1" customHeight="1">
      <c r="A2635" s="179" t="s">
        <v>663</v>
      </c>
      <c r="B2635" s="82"/>
      <c r="C2635" s="830" t="s">
        <v>664</v>
      </c>
      <c r="D2635" s="831"/>
      <c r="E2635" s="831"/>
      <c r="F2635" s="186">
        <f>G2655</f>
        <v>216.75546</v>
      </c>
      <c r="G2635" s="83" t="s">
        <v>167</v>
      </c>
      <c r="I2635" s="481"/>
      <c r="J2635" s="272"/>
      <c r="K2635" s="272"/>
    </row>
    <row r="2636" spans="1:11">
      <c r="A2636" s="818" t="s">
        <v>1902</v>
      </c>
      <c r="B2636" s="819"/>
      <c r="C2636" s="819"/>
      <c r="D2636" s="819"/>
      <c r="E2636" s="819"/>
      <c r="F2636" s="819"/>
      <c r="G2636" s="820"/>
    </row>
    <row r="2637" spans="1:11">
      <c r="A2637" s="84" t="s">
        <v>1903</v>
      </c>
      <c r="B2637" s="84" t="s">
        <v>131</v>
      </c>
      <c r="C2637" s="160" t="s">
        <v>1904</v>
      </c>
      <c r="D2637" s="84" t="s">
        <v>167</v>
      </c>
      <c r="E2637" s="85" t="s">
        <v>1905</v>
      </c>
      <c r="F2637" s="86" t="s">
        <v>1906</v>
      </c>
      <c r="G2637" s="86" t="s">
        <v>1907</v>
      </c>
    </row>
    <row r="2638" spans="1:11" ht="36">
      <c r="A2638" s="87" t="s">
        <v>1917</v>
      </c>
      <c r="B2638" s="87" t="s">
        <v>2065</v>
      </c>
      <c r="C2638" s="278" t="s">
        <v>664</v>
      </c>
      <c r="D2638" s="89" t="s">
        <v>167</v>
      </c>
      <c r="E2638" s="88">
        <v>1</v>
      </c>
      <c r="F2638" s="89">
        <f>'Mapa Cotações'!M104</f>
        <v>93.61</v>
      </c>
      <c r="G2638" s="89">
        <f>F2638*E2638</f>
        <v>93.61</v>
      </c>
    </row>
    <row r="2639" spans="1:11" ht="24">
      <c r="A2639" s="87" t="s">
        <v>2</v>
      </c>
      <c r="B2639" s="87">
        <v>11002</v>
      </c>
      <c r="C2639" s="278" t="s">
        <v>2048</v>
      </c>
      <c r="D2639" s="89" t="s">
        <v>2049</v>
      </c>
      <c r="E2639" s="88">
        <v>0.13650000000000001</v>
      </c>
      <c r="F2639" s="89">
        <v>53.56</v>
      </c>
      <c r="G2639" s="89">
        <v>7.3109400000000004</v>
      </c>
    </row>
    <row r="2640" spans="1:11">
      <c r="A2640" s="832" t="s">
        <v>1908</v>
      </c>
      <c r="B2640" s="833"/>
      <c r="C2640" s="833"/>
      <c r="D2640" s="833"/>
      <c r="E2640" s="833"/>
      <c r="F2640" s="834"/>
      <c r="G2640" s="90">
        <f>SUM(G2638:G2639)</f>
        <v>100.92094</v>
      </c>
    </row>
    <row r="2641" spans="1:7">
      <c r="A2641" s="91"/>
      <c r="B2641" s="92"/>
      <c r="C2641" s="161"/>
      <c r="D2641" s="93"/>
      <c r="E2641" s="94"/>
      <c r="F2641" s="95"/>
      <c r="G2641" s="96"/>
    </row>
    <row r="2642" spans="1:7">
      <c r="A2642" s="835" t="s">
        <v>1909</v>
      </c>
      <c r="B2642" s="836"/>
      <c r="C2642" s="836"/>
      <c r="D2642" s="836"/>
      <c r="E2642" s="836"/>
      <c r="F2642" s="836"/>
      <c r="G2642" s="837"/>
    </row>
    <row r="2643" spans="1:7">
      <c r="A2643" s="84" t="s">
        <v>1903</v>
      </c>
      <c r="B2643" s="84" t="s">
        <v>131</v>
      </c>
      <c r="C2643" s="160" t="s">
        <v>1904</v>
      </c>
      <c r="D2643" s="84" t="s">
        <v>167</v>
      </c>
      <c r="E2643" s="85" t="s">
        <v>1905</v>
      </c>
      <c r="F2643" s="86" t="s">
        <v>1906</v>
      </c>
      <c r="G2643" s="86" t="s">
        <v>1907</v>
      </c>
    </row>
    <row r="2644" spans="1:7" ht="24">
      <c r="A2644" s="87" t="s">
        <v>2</v>
      </c>
      <c r="B2644" s="87">
        <v>88248</v>
      </c>
      <c r="C2644" s="278" t="s">
        <v>1947</v>
      </c>
      <c r="D2644" s="89" t="s">
        <v>137</v>
      </c>
      <c r="E2644" s="88">
        <v>1.532</v>
      </c>
      <c r="F2644" s="89">
        <v>21.45</v>
      </c>
      <c r="G2644" s="89">
        <v>32.861399999999996</v>
      </c>
    </row>
    <row r="2645" spans="1:7" ht="24">
      <c r="A2645" s="87" t="s">
        <v>2</v>
      </c>
      <c r="B2645" s="87">
        <v>88267</v>
      </c>
      <c r="C2645" s="278" t="s">
        <v>1949</v>
      </c>
      <c r="D2645" s="89" t="s">
        <v>137</v>
      </c>
      <c r="E2645" s="88">
        <v>1.532</v>
      </c>
      <c r="F2645" s="89">
        <v>26.33</v>
      </c>
      <c r="G2645" s="89">
        <v>40.337559999999996</v>
      </c>
    </row>
    <row r="2646" spans="1:7">
      <c r="A2646" s="87" t="s">
        <v>2</v>
      </c>
      <c r="B2646" s="87">
        <v>88317</v>
      </c>
      <c r="C2646" s="278" t="s">
        <v>1970</v>
      </c>
      <c r="D2646" s="89" t="s">
        <v>137</v>
      </c>
      <c r="E2646" s="88">
        <v>1.532</v>
      </c>
      <c r="F2646" s="89">
        <v>27.83</v>
      </c>
      <c r="G2646" s="89">
        <v>42.635559999999998</v>
      </c>
    </row>
    <row r="2647" spans="1:7">
      <c r="A2647" s="832" t="s">
        <v>1908</v>
      </c>
      <c r="B2647" s="833"/>
      <c r="C2647" s="833"/>
      <c r="D2647" s="833"/>
      <c r="E2647" s="833"/>
      <c r="F2647" s="834"/>
      <c r="G2647" s="90">
        <f>SUM(G2644:G2646)</f>
        <v>115.83452</v>
      </c>
    </row>
    <row r="2648" spans="1:7">
      <c r="A2648" s="91"/>
      <c r="B2648" s="92"/>
      <c r="C2648" s="162"/>
      <c r="D2648" s="92"/>
      <c r="E2648" s="97"/>
      <c r="F2648" s="98"/>
      <c r="G2648" s="96"/>
    </row>
    <row r="2649" spans="1:7">
      <c r="A2649" s="835" t="s">
        <v>1912</v>
      </c>
      <c r="B2649" s="836"/>
      <c r="C2649" s="836"/>
      <c r="D2649" s="836"/>
      <c r="E2649" s="836"/>
      <c r="F2649" s="836"/>
      <c r="G2649" s="837"/>
    </row>
    <row r="2650" spans="1:7">
      <c r="A2650" s="84" t="s">
        <v>1903</v>
      </c>
      <c r="B2650" s="84" t="s">
        <v>131</v>
      </c>
      <c r="C2650" s="160" t="s">
        <v>1904</v>
      </c>
      <c r="D2650" s="84" t="s">
        <v>167</v>
      </c>
      <c r="E2650" s="85" t="s">
        <v>1905</v>
      </c>
      <c r="F2650" s="86" t="s">
        <v>1906</v>
      </c>
      <c r="G2650" s="86" t="s">
        <v>1907</v>
      </c>
    </row>
    <row r="2651" spans="1:7">
      <c r="A2651" s="87"/>
      <c r="B2651" s="87"/>
      <c r="C2651" s="278" t="s">
        <v>34</v>
      </c>
      <c r="D2651" s="89" t="s">
        <v>34</v>
      </c>
      <c r="E2651" s="88"/>
      <c r="F2651" s="89" t="s">
        <v>34</v>
      </c>
      <c r="G2651" s="89" t="s">
        <v>34</v>
      </c>
    </row>
    <row r="2652" spans="1:7">
      <c r="A2652" s="87"/>
      <c r="B2652" s="87"/>
      <c r="C2652" s="278" t="s">
        <v>34</v>
      </c>
      <c r="D2652" s="89" t="s">
        <v>34</v>
      </c>
      <c r="E2652" s="88"/>
      <c r="F2652" s="89" t="s">
        <v>34</v>
      </c>
      <c r="G2652" s="89" t="s">
        <v>34</v>
      </c>
    </row>
    <row r="2653" spans="1:7">
      <c r="A2653" s="832" t="s">
        <v>1908</v>
      </c>
      <c r="B2653" s="833" t="s">
        <v>1908</v>
      </c>
      <c r="C2653" s="833"/>
      <c r="D2653" s="833"/>
      <c r="E2653" s="833"/>
      <c r="F2653" s="834"/>
      <c r="G2653" s="90" t="s">
        <v>34</v>
      </c>
    </row>
    <row r="2654" spans="1:7" ht="13.5" thickBot="1">
      <c r="A2654" s="91"/>
      <c r="B2654" s="92"/>
      <c r="C2654" s="163"/>
      <c r="D2654" s="99"/>
      <c r="E2654" s="100"/>
      <c r="F2654" s="101"/>
      <c r="G2654" s="102"/>
    </row>
    <row r="2655" spans="1:7" ht="13.5" thickBot="1">
      <c r="A2655" s="838" t="s">
        <v>1259</v>
      </c>
      <c r="B2655" s="839"/>
      <c r="C2655" s="839"/>
      <c r="D2655" s="839"/>
      <c r="E2655" s="839"/>
      <c r="F2655" s="840"/>
      <c r="G2655" s="103">
        <f>G2647+G2640</f>
        <v>216.75546</v>
      </c>
    </row>
    <row r="2658" spans="1:11">
      <c r="A2658" s="237" t="s">
        <v>131</v>
      </c>
      <c r="B2658" s="190" t="s">
        <v>27</v>
      </c>
      <c r="C2658" s="841" t="s">
        <v>1281</v>
      </c>
      <c r="D2658" s="841"/>
      <c r="E2658" s="841"/>
      <c r="F2658" s="841"/>
      <c r="G2658" s="81" t="s">
        <v>127</v>
      </c>
      <c r="I2658" s="480" t="s">
        <v>1901</v>
      </c>
      <c r="J2658" s="80"/>
      <c r="K2658" s="80"/>
    </row>
    <row r="2659" spans="1:11" ht="50.1" customHeight="1">
      <c r="A2659" s="179" t="s">
        <v>666</v>
      </c>
      <c r="B2659" s="82"/>
      <c r="C2659" s="830" t="s">
        <v>667</v>
      </c>
      <c r="D2659" s="831"/>
      <c r="E2659" s="831"/>
      <c r="F2659" s="186">
        <f>G2679</f>
        <v>223.010515</v>
      </c>
      <c r="G2659" s="83" t="s">
        <v>167</v>
      </c>
      <c r="I2659" s="481"/>
      <c r="J2659" s="272"/>
      <c r="K2659" s="272"/>
    </row>
    <row r="2660" spans="1:11">
      <c r="A2660" s="818" t="s">
        <v>1902</v>
      </c>
      <c r="B2660" s="819"/>
      <c r="C2660" s="819"/>
      <c r="D2660" s="819"/>
      <c r="E2660" s="819"/>
      <c r="F2660" s="819"/>
      <c r="G2660" s="820"/>
    </row>
    <row r="2661" spans="1:11">
      <c r="A2661" s="84" t="s">
        <v>1903</v>
      </c>
      <c r="B2661" s="84" t="s">
        <v>131</v>
      </c>
      <c r="C2661" s="160" t="s">
        <v>1904</v>
      </c>
      <c r="D2661" s="84" t="s">
        <v>167</v>
      </c>
      <c r="E2661" s="85" t="s">
        <v>1905</v>
      </c>
      <c r="F2661" s="86" t="s">
        <v>1906</v>
      </c>
      <c r="G2661" s="86" t="s">
        <v>1907</v>
      </c>
    </row>
    <row r="2662" spans="1:11" ht="36">
      <c r="A2662" s="87" t="s">
        <v>1917</v>
      </c>
      <c r="B2662" s="87" t="s">
        <v>2066</v>
      </c>
      <c r="C2662" s="278" t="s">
        <v>667</v>
      </c>
      <c r="D2662" s="89" t="s">
        <v>167</v>
      </c>
      <c r="E2662" s="88">
        <v>1</v>
      </c>
      <c r="F2662" s="89">
        <f>'Mapa Cotações'!M105</f>
        <v>100.909475</v>
      </c>
      <c r="G2662" s="89">
        <f>F2662*E2662</f>
        <v>100.909475</v>
      </c>
    </row>
    <row r="2663" spans="1:11" ht="24">
      <c r="A2663" s="87" t="s">
        <v>2</v>
      </c>
      <c r="B2663" s="87">
        <v>11002</v>
      </c>
      <c r="C2663" s="278" t="s">
        <v>2048</v>
      </c>
      <c r="D2663" s="89" t="s">
        <v>2049</v>
      </c>
      <c r="E2663" s="88">
        <v>0.11699999999999999</v>
      </c>
      <c r="F2663" s="89">
        <v>53.56</v>
      </c>
      <c r="G2663" s="89">
        <v>6.2665199999999999</v>
      </c>
    </row>
    <row r="2664" spans="1:11">
      <c r="A2664" s="832" t="s">
        <v>1908</v>
      </c>
      <c r="B2664" s="833"/>
      <c r="C2664" s="833"/>
      <c r="D2664" s="833"/>
      <c r="E2664" s="833"/>
      <c r="F2664" s="834"/>
      <c r="G2664" s="90">
        <f>SUM(G2662:G2663)</f>
        <v>107.175995</v>
      </c>
    </row>
    <row r="2665" spans="1:11">
      <c r="A2665" s="91"/>
      <c r="B2665" s="92"/>
      <c r="C2665" s="161"/>
      <c r="D2665" s="93"/>
      <c r="E2665" s="94"/>
      <c r="F2665" s="95"/>
      <c r="G2665" s="96"/>
    </row>
    <row r="2666" spans="1:11">
      <c r="A2666" s="835" t="s">
        <v>1909</v>
      </c>
      <c r="B2666" s="836"/>
      <c r="C2666" s="836"/>
      <c r="D2666" s="836"/>
      <c r="E2666" s="836"/>
      <c r="F2666" s="836"/>
      <c r="G2666" s="837"/>
    </row>
    <row r="2667" spans="1:11">
      <c r="A2667" s="84" t="s">
        <v>1903</v>
      </c>
      <c r="B2667" s="84" t="s">
        <v>131</v>
      </c>
      <c r="C2667" s="160" t="s">
        <v>1904</v>
      </c>
      <c r="D2667" s="84" t="s">
        <v>167</v>
      </c>
      <c r="E2667" s="85" t="s">
        <v>1905</v>
      </c>
      <c r="F2667" s="86" t="s">
        <v>1906</v>
      </c>
      <c r="G2667" s="86" t="s">
        <v>1907</v>
      </c>
    </row>
    <row r="2668" spans="1:11" ht="24">
      <c r="A2668" s="87" t="s">
        <v>2</v>
      </c>
      <c r="B2668" s="87">
        <v>88248</v>
      </c>
      <c r="C2668" s="278" t="s">
        <v>1947</v>
      </c>
      <c r="D2668" s="89" t="s">
        <v>137</v>
      </c>
      <c r="E2668" s="88">
        <v>1.532</v>
      </c>
      <c r="F2668" s="89">
        <v>21.45</v>
      </c>
      <c r="G2668" s="89">
        <v>32.861399999999996</v>
      </c>
    </row>
    <row r="2669" spans="1:11" ht="24">
      <c r="A2669" s="87" t="s">
        <v>2</v>
      </c>
      <c r="B2669" s="87">
        <v>88267</v>
      </c>
      <c r="C2669" s="278" t="s">
        <v>1949</v>
      </c>
      <c r="D2669" s="89" t="s">
        <v>137</v>
      </c>
      <c r="E2669" s="88">
        <v>1.532</v>
      </c>
      <c r="F2669" s="89">
        <v>26.33</v>
      </c>
      <c r="G2669" s="89">
        <v>40.337559999999996</v>
      </c>
    </row>
    <row r="2670" spans="1:11">
      <c r="A2670" s="87" t="s">
        <v>2</v>
      </c>
      <c r="B2670" s="87">
        <v>88317</v>
      </c>
      <c r="C2670" s="278" t="s">
        <v>1970</v>
      </c>
      <c r="D2670" s="89" t="s">
        <v>137</v>
      </c>
      <c r="E2670" s="88">
        <v>1.532</v>
      </c>
      <c r="F2670" s="89">
        <v>27.83</v>
      </c>
      <c r="G2670" s="89">
        <v>42.635559999999998</v>
      </c>
    </row>
    <row r="2671" spans="1:11">
      <c r="A2671" s="832" t="s">
        <v>1908</v>
      </c>
      <c r="B2671" s="833"/>
      <c r="C2671" s="833"/>
      <c r="D2671" s="833"/>
      <c r="E2671" s="833"/>
      <c r="F2671" s="834"/>
      <c r="G2671" s="90">
        <f>SUM(G2668:G2670)</f>
        <v>115.83452</v>
      </c>
    </row>
    <row r="2672" spans="1:11">
      <c r="A2672" s="91"/>
      <c r="B2672" s="92"/>
      <c r="C2672" s="162"/>
      <c r="D2672" s="92"/>
      <c r="E2672" s="97"/>
      <c r="F2672" s="98"/>
      <c r="G2672" s="96"/>
    </row>
    <row r="2673" spans="1:11">
      <c r="A2673" s="835" t="s">
        <v>1912</v>
      </c>
      <c r="B2673" s="836"/>
      <c r="C2673" s="836"/>
      <c r="D2673" s="836"/>
      <c r="E2673" s="836"/>
      <c r="F2673" s="836"/>
      <c r="G2673" s="837"/>
    </row>
    <row r="2674" spans="1:11">
      <c r="A2674" s="84" t="s">
        <v>1903</v>
      </c>
      <c r="B2674" s="84" t="s">
        <v>131</v>
      </c>
      <c r="C2674" s="160" t="s">
        <v>1904</v>
      </c>
      <c r="D2674" s="84" t="s">
        <v>167</v>
      </c>
      <c r="E2674" s="85" t="s">
        <v>1905</v>
      </c>
      <c r="F2674" s="86" t="s">
        <v>1906</v>
      </c>
      <c r="G2674" s="86" t="s">
        <v>1907</v>
      </c>
    </row>
    <row r="2675" spans="1:11">
      <c r="A2675" s="87"/>
      <c r="B2675" s="87"/>
      <c r="C2675" s="278" t="s">
        <v>34</v>
      </c>
      <c r="D2675" s="89" t="s">
        <v>34</v>
      </c>
      <c r="E2675" s="88"/>
      <c r="F2675" s="89" t="s">
        <v>34</v>
      </c>
      <c r="G2675" s="89" t="s">
        <v>34</v>
      </c>
    </row>
    <row r="2676" spans="1:11">
      <c r="A2676" s="87"/>
      <c r="B2676" s="87"/>
      <c r="C2676" s="278" t="s">
        <v>34</v>
      </c>
      <c r="D2676" s="89" t="s">
        <v>34</v>
      </c>
      <c r="E2676" s="88"/>
      <c r="F2676" s="89" t="s">
        <v>34</v>
      </c>
      <c r="G2676" s="89" t="s">
        <v>34</v>
      </c>
    </row>
    <row r="2677" spans="1:11">
      <c r="A2677" s="832" t="s">
        <v>1908</v>
      </c>
      <c r="B2677" s="833" t="s">
        <v>1908</v>
      </c>
      <c r="C2677" s="833"/>
      <c r="D2677" s="833"/>
      <c r="E2677" s="833"/>
      <c r="F2677" s="834"/>
      <c r="G2677" s="90" t="s">
        <v>34</v>
      </c>
    </row>
    <row r="2678" spans="1:11" ht="13.5" thickBot="1">
      <c r="A2678" s="91"/>
      <c r="B2678" s="92"/>
      <c r="C2678" s="163"/>
      <c r="D2678" s="99"/>
      <c r="E2678" s="100"/>
      <c r="F2678" s="101"/>
      <c r="G2678" s="102"/>
    </row>
    <row r="2679" spans="1:11" ht="13.5" thickBot="1">
      <c r="A2679" s="838" t="s">
        <v>1259</v>
      </c>
      <c r="B2679" s="839"/>
      <c r="C2679" s="839"/>
      <c r="D2679" s="839"/>
      <c r="E2679" s="839"/>
      <c r="F2679" s="840"/>
      <c r="G2679" s="103">
        <f>G2671+G2664</f>
        <v>223.010515</v>
      </c>
    </row>
    <row r="2682" spans="1:11">
      <c r="A2682" s="237" t="s">
        <v>131</v>
      </c>
      <c r="B2682" s="190" t="s">
        <v>27</v>
      </c>
      <c r="C2682" s="841" t="s">
        <v>1281</v>
      </c>
      <c r="D2682" s="841"/>
      <c r="E2682" s="841"/>
      <c r="F2682" s="841"/>
      <c r="G2682" s="81" t="s">
        <v>127</v>
      </c>
      <c r="I2682" s="480" t="s">
        <v>1901</v>
      </c>
      <c r="J2682" s="80"/>
      <c r="K2682" s="80"/>
    </row>
    <row r="2683" spans="1:11" ht="50.1" customHeight="1">
      <c r="A2683" s="179" t="s">
        <v>669</v>
      </c>
      <c r="B2683" s="82"/>
      <c r="C2683" s="830" t="s">
        <v>670</v>
      </c>
      <c r="D2683" s="831"/>
      <c r="E2683" s="831"/>
      <c r="F2683" s="186">
        <f>G2703</f>
        <v>1518.401515</v>
      </c>
      <c r="G2683" s="83" t="s">
        <v>167</v>
      </c>
      <c r="I2683" s="481"/>
      <c r="J2683" s="272"/>
      <c r="K2683" s="272"/>
    </row>
    <row r="2684" spans="1:11">
      <c r="A2684" s="818" t="s">
        <v>1902</v>
      </c>
      <c r="B2684" s="819"/>
      <c r="C2684" s="819"/>
      <c r="D2684" s="819"/>
      <c r="E2684" s="819"/>
      <c r="F2684" s="819"/>
      <c r="G2684" s="820"/>
    </row>
    <row r="2685" spans="1:11">
      <c r="A2685" s="84" t="s">
        <v>1903</v>
      </c>
      <c r="B2685" s="84" t="s">
        <v>131</v>
      </c>
      <c r="C2685" s="160" t="s">
        <v>1904</v>
      </c>
      <c r="D2685" s="84" t="s">
        <v>167</v>
      </c>
      <c r="E2685" s="85" t="s">
        <v>1905</v>
      </c>
      <c r="F2685" s="86" t="s">
        <v>1906</v>
      </c>
      <c r="G2685" s="86" t="s">
        <v>1907</v>
      </c>
    </row>
    <row r="2686" spans="1:11" ht="36">
      <c r="A2686" s="87" t="s">
        <v>1917</v>
      </c>
      <c r="B2686" s="87" t="s">
        <v>2067</v>
      </c>
      <c r="C2686" s="278" t="s">
        <v>670</v>
      </c>
      <c r="D2686" s="89" t="s">
        <v>167</v>
      </c>
      <c r="E2686" s="88">
        <v>1</v>
      </c>
      <c r="F2686" s="89">
        <f>'Mapa Cotações'!M106</f>
        <v>1273.155015</v>
      </c>
      <c r="G2686" s="89">
        <f>F2686*E2686</f>
        <v>1273.155015</v>
      </c>
    </row>
    <row r="2687" spans="1:11" ht="24">
      <c r="A2687" s="87" t="s">
        <v>2</v>
      </c>
      <c r="B2687" s="87">
        <v>11002</v>
      </c>
      <c r="C2687" s="278" t="s">
        <v>2048</v>
      </c>
      <c r="D2687" s="89" t="s">
        <v>2049</v>
      </c>
      <c r="E2687" s="88">
        <v>0.2535</v>
      </c>
      <c r="F2687" s="89">
        <v>53.56</v>
      </c>
      <c r="G2687" s="89">
        <v>13.57746</v>
      </c>
    </row>
    <row r="2688" spans="1:11">
      <c r="A2688" s="832" t="s">
        <v>1908</v>
      </c>
      <c r="B2688" s="833"/>
      <c r="C2688" s="833"/>
      <c r="D2688" s="833"/>
      <c r="E2688" s="833"/>
      <c r="F2688" s="834"/>
      <c r="G2688" s="90">
        <f>SUM(G2686:G2687)</f>
        <v>1286.732475</v>
      </c>
    </row>
    <row r="2689" spans="1:7">
      <c r="A2689" s="91"/>
      <c r="B2689" s="92"/>
      <c r="C2689" s="161"/>
      <c r="D2689" s="93"/>
      <c r="E2689" s="94"/>
      <c r="F2689" s="95"/>
      <c r="G2689" s="96"/>
    </row>
    <row r="2690" spans="1:7">
      <c r="A2690" s="835" t="s">
        <v>1909</v>
      </c>
      <c r="B2690" s="836"/>
      <c r="C2690" s="836"/>
      <c r="D2690" s="836"/>
      <c r="E2690" s="836"/>
      <c r="F2690" s="836"/>
      <c r="G2690" s="837"/>
    </row>
    <row r="2691" spans="1:7">
      <c r="A2691" s="84" t="s">
        <v>1903</v>
      </c>
      <c r="B2691" s="84" t="s">
        <v>131</v>
      </c>
      <c r="C2691" s="160" t="s">
        <v>1904</v>
      </c>
      <c r="D2691" s="84" t="s">
        <v>167</v>
      </c>
      <c r="E2691" s="85" t="s">
        <v>1905</v>
      </c>
      <c r="F2691" s="86" t="s">
        <v>1906</v>
      </c>
      <c r="G2691" s="86" t="s">
        <v>1907</v>
      </c>
    </row>
    <row r="2692" spans="1:7" ht="24">
      <c r="A2692" s="87" t="s">
        <v>2</v>
      </c>
      <c r="B2692" s="87">
        <v>88248</v>
      </c>
      <c r="C2692" s="278" t="s">
        <v>1947</v>
      </c>
      <c r="D2692" s="89" t="s">
        <v>137</v>
      </c>
      <c r="E2692" s="88">
        <v>3.0640000000000001</v>
      </c>
      <c r="F2692" s="89">
        <v>21.45</v>
      </c>
      <c r="G2692" s="89">
        <v>65.722799999999992</v>
      </c>
    </row>
    <row r="2693" spans="1:7" ht="24">
      <c r="A2693" s="87" t="s">
        <v>2</v>
      </c>
      <c r="B2693" s="87">
        <v>88267</v>
      </c>
      <c r="C2693" s="278" t="s">
        <v>1949</v>
      </c>
      <c r="D2693" s="89" t="s">
        <v>137</v>
      </c>
      <c r="E2693" s="88">
        <v>3.0640000000000001</v>
      </c>
      <c r="F2693" s="89">
        <v>26.33</v>
      </c>
      <c r="G2693" s="89">
        <v>80.675119999999993</v>
      </c>
    </row>
    <row r="2694" spans="1:7">
      <c r="A2694" s="87" t="s">
        <v>2</v>
      </c>
      <c r="B2694" s="87">
        <v>88317</v>
      </c>
      <c r="C2694" s="278" t="s">
        <v>1970</v>
      </c>
      <c r="D2694" s="89" t="s">
        <v>137</v>
      </c>
      <c r="E2694" s="88">
        <v>3.0640000000000001</v>
      </c>
      <c r="F2694" s="89">
        <v>27.83</v>
      </c>
      <c r="G2694" s="89">
        <v>85.271119999999996</v>
      </c>
    </row>
    <row r="2695" spans="1:7">
      <c r="A2695" s="832" t="s">
        <v>1908</v>
      </c>
      <c r="B2695" s="833"/>
      <c r="C2695" s="833"/>
      <c r="D2695" s="833"/>
      <c r="E2695" s="833"/>
      <c r="F2695" s="834"/>
      <c r="G2695" s="90">
        <f>SUM(G2692:G2694)</f>
        <v>231.66904</v>
      </c>
    </row>
    <row r="2696" spans="1:7">
      <c r="A2696" s="91"/>
      <c r="B2696" s="92"/>
      <c r="C2696" s="162"/>
      <c r="D2696" s="92"/>
      <c r="E2696" s="97"/>
      <c r="F2696" s="98"/>
      <c r="G2696" s="96"/>
    </row>
    <row r="2697" spans="1:7">
      <c r="A2697" s="835" t="s">
        <v>1912</v>
      </c>
      <c r="B2697" s="836"/>
      <c r="C2697" s="836"/>
      <c r="D2697" s="836"/>
      <c r="E2697" s="836"/>
      <c r="F2697" s="836"/>
      <c r="G2697" s="837"/>
    </row>
    <row r="2698" spans="1:7">
      <c r="A2698" s="84" t="s">
        <v>1903</v>
      </c>
      <c r="B2698" s="84" t="s">
        <v>131</v>
      </c>
      <c r="C2698" s="160" t="s">
        <v>1904</v>
      </c>
      <c r="D2698" s="84" t="s">
        <v>167</v>
      </c>
      <c r="E2698" s="85" t="s">
        <v>1905</v>
      </c>
      <c r="F2698" s="86" t="s">
        <v>1906</v>
      </c>
      <c r="G2698" s="86" t="s">
        <v>1907</v>
      </c>
    </row>
    <row r="2699" spans="1:7">
      <c r="A2699" s="87"/>
      <c r="B2699" s="87"/>
      <c r="C2699" s="278" t="s">
        <v>34</v>
      </c>
      <c r="D2699" s="89" t="s">
        <v>34</v>
      </c>
      <c r="E2699" s="88"/>
      <c r="F2699" s="89" t="s">
        <v>34</v>
      </c>
      <c r="G2699" s="89" t="s">
        <v>34</v>
      </c>
    </row>
    <row r="2700" spans="1:7">
      <c r="A2700" s="87"/>
      <c r="B2700" s="87"/>
      <c r="C2700" s="278" t="s">
        <v>34</v>
      </c>
      <c r="D2700" s="89" t="s">
        <v>34</v>
      </c>
      <c r="E2700" s="88"/>
      <c r="F2700" s="89" t="s">
        <v>34</v>
      </c>
      <c r="G2700" s="89" t="s">
        <v>34</v>
      </c>
    </row>
    <row r="2701" spans="1:7">
      <c r="A2701" s="832" t="s">
        <v>1908</v>
      </c>
      <c r="B2701" s="833" t="s">
        <v>1908</v>
      </c>
      <c r="C2701" s="833"/>
      <c r="D2701" s="833"/>
      <c r="E2701" s="833"/>
      <c r="F2701" s="834"/>
      <c r="G2701" s="90" t="s">
        <v>34</v>
      </c>
    </row>
    <row r="2702" spans="1:7" ht="13.5" thickBot="1">
      <c r="A2702" s="91"/>
      <c r="B2702" s="92"/>
      <c r="C2702" s="163"/>
      <c r="D2702" s="99"/>
      <c r="E2702" s="100"/>
      <c r="F2702" s="101"/>
      <c r="G2702" s="102"/>
    </row>
    <row r="2703" spans="1:7" ht="13.5" thickBot="1">
      <c r="A2703" s="838" t="s">
        <v>1259</v>
      </c>
      <c r="B2703" s="839"/>
      <c r="C2703" s="839"/>
      <c r="D2703" s="839"/>
      <c r="E2703" s="839"/>
      <c r="F2703" s="840"/>
      <c r="G2703" s="103">
        <f>G2695+G2688</f>
        <v>1518.401515</v>
      </c>
    </row>
    <row r="2706" spans="1:11">
      <c r="A2706" s="237" t="s">
        <v>131</v>
      </c>
      <c r="B2706" s="190" t="s">
        <v>27</v>
      </c>
      <c r="C2706" s="841" t="s">
        <v>1281</v>
      </c>
      <c r="D2706" s="841"/>
      <c r="E2706" s="841"/>
      <c r="F2706" s="841"/>
      <c r="G2706" s="81" t="s">
        <v>127</v>
      </c>
      <c r="I2706" s="480" t="s">
        <v>1901</v>
      </c>
      <c r="J2706" s="80"/>
      <c r="K2706" s="80"/>
    </row>
    <row r="2707" spans="1:11" ht="50.1" customHeight="1">
      <c r="A2707" s="179" t="s">
        <v>672</v>
      </c>
      <c r="B2707" s="82"/>
      <c r="C2707" s="830" t="s">
        <v>673</v>
      </c>
      <c r="D2707" s="831"/>
      <c r="E2707" s="831"/>
      <c r="F2707" s="186">
        <f>G2727</f>
        <v>1517.3570950000001</v>
      </c>
      <c r="G2707" s="83" t="s">
        <v>167</v>
      </c>
      <c r="I2707" s="481"/>
      <c r="J2707" s="272"/>
      <c r="K2707" s="272"/>
    </row>
    <row r="2708" spans="1:11">
      <c r="A2708" s="818" t="s">
        <v>1902</v>
      </c>
      <c r="B2708" s="819"/>
      <c r="C2708" s="819"/>
      <c r="D2708" s="819"/>
      <c r="E2708" s="819"/>
      <c r="F2708" s="819"/>
      <c r="G2708" s="820"/>
    </row>
    <row r="2709" spans="1:11">
      <c r="A2709" s="84" t="s">
        <v>1903</v>
      </c>
      <c r="B2709" s="84" t="s">
        <v>131</v>
      </c>
      <c r="C2709" s="160" t="s">
        <v>1904</v>
      </c>
      <c r="D2709" s="84" t="s">
        <v>167</v>
      </c>
      <c r="E2709" s="85" t="s">
        <v>1905</v>
      </c>
      <c r="F2709" s="86" t="s">
        <v>1906</v>
      </c>
      <c r="G2709" s="86" t="s">
        <v>1907</v>
      </c>
    </row>
    <row r="2710" spans="1:11" ht="36">
      <c r="A2710" s="87" t="s">
        <v>1917</v>
      </c>
      <c r="B2710" s="87" t="s">
        <v>2068</v>
      </c>
      <c r="C2710" s="278" t="s">
        <v>673</v>
      </c>
      <c r="D2710" s="89" t="s">
        <v>167</v>
      </c>
      <c r="E2710" s="88">
        <v>1</v>
      </c>
      <c r="F2710" s="89">
        <f>'Mapa Cotações'!M107</f>
        <v>1273.155015</v>
      </c>
      <c r="G2710" s="89">
        <f>F2710*E2710</f>
        <v>1273.155015</v>
      </c>
    </row>
    <row r="2711" spans="1:11" ht="24">
      <c r="A2711" s="87" t="s">
        <v>2</v>
      </c>
      <c r="B2711" s="87">
        <v>11002</v>
      </c>
      <c r="C2711" s="278" t="s">
        <v>2048</v>
      </c>
      <c r="D2711" s="89" t="s">
        <v>2049</v>
      </c>
      <c r="E2711" s="88">
        <v>0.23399999999999999</v>
      </c>
      <c r="F2711" s="89">
        <v>53.56</v>
      </c>
      <c r="G2711" s="89">
        <v>12.53304</v>
      </c>
    </row>
    <row r="2712" spans="1:11">
      <c r="A2712" s="832" t="s">
        <v>1908</v>
      </c>
      <c r="B2712" s="833"/>
      <c r="C2712" s="833"/>
      <c r="D2712" s="833"/>
      <c r="E2712" s="833"/>
      <c r="F2712" s="834"/>
      <c r="G2712" s="90">
        <f>SUM(G2710:G2711)</f>
        <v>1285.6880550000001</v>
      </c>
    </row>
    <row r="2713" spans="1:11">
      <c r="A2713" s="91"/>
      <c r="B2713" s="92"/>
      <c r="C2713" s="161"/>
      <c r="D2713" s="93"/>
      <c r="E2713" s="94"/>
      <c r="F2713" s="95"/>
      <c r="G2713" s="96"/>
    </row>
    <row r="2714" spans="1:11">
      <c r="A2714" s="835" t="s">
        <v>1909</v>
      </c>
      <c r="B2714" s="836"/>
      <c r="C2714" s="836"/>
      <c r="D2714" s="836"/>
      <c r="E2714" s="836"/>
      <c r="F2714" s="836"/>
      <c r="G2714" s="837"/>
    </row>
    <row r="2715" spans="1:11">
      <c r="A2715" s="84" t="s">
        <v>1903</v>
      </c>
      <c r="B2715" s="84" t="s">
        <v>131</v>
      </c>
      <c r="C2715" s="160" t="s">
        <v>1904</v>
      </c>
      <c r="D2715" s="84" t="s">
        <v>167</v>
      </c>
      <c r="E2715" s="85" t="s">
        <v>1905</v>
      </c>
      <c r="F2715" s="86" t="s">
        <v>1906</v>
      </c>
      <c r="G2715" s="86" t="s">
        <v>1907</v>
      </c>
    </row>
    <row r="2716" spans="1:11" ht="24">
      <c r="A2716" s="87" t="s">
        <v>2</v>
      </c>
      <c r="B2716" s="87">
        <v>88248</v>
      </c>
      <c r="C2716" s="278" t="s">
        <v>1947</v>
      </c>
      <c r="D2716" s="89" t="s">
        <v>137</v>
      </c>
      <c r="E2716" s="88">
        <v>3.0640000000000001</v>
      </c>
      <c r="F2716" s="89">
        <v>21.45</v>
      </c>
      <c r="G2716" s="89">
        <v>65.722799999999992</v>
      </c>
    </row>
    <row r="2717" spans="1:11" ht="24">
      <c r="A2717" s="87" t="s">
        <v>2</v>
      </c>
      <c r="B2717" s="87">
        <v>88267</v>
      </c>
      <c r="C2717" s="278" t="s">
        <v>1949</v>
      </c>
      <c r="D2717" s="89" t="s">
        <v>137</v>
      </c>
      <c r="E2717" s="88">
        <v>3.0640000000000001</v>
      </c>
      <c r="F2717" s="89">
        <v>26.33</v>
      </c>
      <c r="G2717" s="89">
        <v>80.675119999999993</v>
      </c>
    </row>
    <row r="2718" spans="1:11">
      <c r="A2718" s="87" t="s">
        <v>2</v>
      </c>
      <c r="B2718" s="87">
        <v>88317</v>
      </c>
      <c r="C2718" s="278" t="s">
        <v>1970</v>
      </c>
      <c r="D2718" s="89" t="s">
        <v>137</v>
      </c>
      <c r="E2718" s="88">
        <v>3.0640000000000001</v>
      </c>
      <c r="F2718" s="89">
        <v>27.83</v>
      </c>
      <c r="G2718" s="89">
        <v>85.271119999999996</v>
      </c>
    </row>
    <row r="2719" spans="1:11">
      <c r="A2719" s="832" t="s">
        <v>1908</v>
      </c>
      <c r="B2719" s="833"/>
      <c r="C2719" s="833"/>
      <c r="D2719" s="833"/>
      <c r="E2719" s="833"/>
      <c r="F2719" s="834"/>
      <c r="G2719" s="90">
        <f>SUM(G2716:G2718)</f>
        <v>231.66904</v>
      </c>
    </row>
    <row r="2720" spans="1:11">
      <c r="A2720" s="91"/>
      <c r="B2720" s="92"/>
      <c r="C2720" s="162"/>
      <c r="D2720" s="92"/>
      <c r="E2720" s="97"/>
      <c r="F2720" s="98"/>
      <c r="G2720" s="96"/>
    </row>
    <row r="2721" spans="1:11">
      <c r="A2721" s="835" t="s">
        <v>1912</v>
      </c>
      <c r="B2721" s="836"/>
      <c r="C2721" s="836"/>
      <c r="D2721" s="836"/>
      <c r="E2721" s="836"/>
      <c r="F2721" s="836"/>
      <c r="G2721" s="837"/>
    </row>
    <row r="2722" spans="1:11">
      <c r="A2722" s="84" t="s">
        <v>1903</v>
      </c>
      <c r="B2722" s="84" t="s">
        <v>131</v>
      </c>
      <c r="C2722" s="160" t="s">
        <v>1904</v>
      </c>
      <c r="D2722" s="84" t="s">
        <v>167</v>
      </c>
      <c r="E2722" s="85" t="s">
        <v>1905</v>
      </c>
      <c r="F2722" s="86" t="s">
        <v>1906</v>
      </c>
      <c r="G2722" s="86" t="s">
        <v>1907</v>
      </c>
    </row>
    <row r="2723" spans="1:11">
      <c r="A2723" s="87"/>
      <c r="B2723" s="87"/>
      <c r="C2723" s="278" t="s">
        <v>34</v>
      </c>
      <c r="D2723" s="89" t="s">
        <v>34</v>
      </c>
      <c r="E2723" s="88"/>
      <c r="F2723" s="89" t="s">
        <v>34</v>
      </c>
      <c r="G2723" s="89" t="s">
        <v>34</v>
      </c>
    </row>
    <row r="2724" spans="1:11">
      <c r="A2724" s="87"/>
      <c r="B2724" s="87"/>
      <c r="C2724" s="278" t="s">
        <v>34</v>
      </c>
      <c r="D2724" s="89" t="s">
        <v>34</v>
      </c>
      <c r="E2724" s="88"/>
      <c r="F2724" s="89" t="s">
        <v>34</v>
      </c>
      <c r="G2724" s="89" t="s">
        <v>34</v>
      </c>
    </row>
    <row r="2725" spans="1:11">
      <c r="A2725" s="832" t="s">
        <v>1908</v>
      </c>
      <c r="B2725" s="833" t="s">
        <v>1908</v>
      </c>
      <c r="C2725" s="833"/>
      <c r="D2725" s="833"/>
      <c r="E2725" s="833"/>
      <c r="F2725" s="834"/>
      <c r="G2725" s="90" t="s">
        <v>34</v>
      </c>
    </row>
    <row r="2726" spans="1:11" ht="13.5" thickBot="1">
      <c r="A2726" s="91"/>
      <c r="B2726" s="92"/>
      <c r="C2726" s="163"/>
      <c r="D2726" s="99"/>
      <c r="E2726" s="100"/>
      <c r="F2726" s="101"/>
      <c r="G2726" s="102"/>
    </row>
    <row r="2727" spans="1:11" ht="13.5" thickBot="1">
      <c r="A2727" s="838" t="s">
        <v>1259</v>
      </c>
      <c r="B2727" s="839"/>
      <c r="C2727" s="839"/>
      <c r="D2727" s="839"/>
      <c r="E2727" s="839"/>
      <c r="F2727" s="840"/>
      <c r="G2727" s="103">
        <f>G2719+G2712</f>
        <v>1517.3570950000001</v>
      </c>
    </row>
    <row r="2730" spans="1:11">
      <c r="A2730" s="237" t="s">
        <v>131</v>
      </c>
      <c r="B2730" s="190" t="s">
        <v>27</v>
      </c>
      <c r="C2730" s="841" t="s">
        <v>1281</v>
      </c>
      <c r="D2730" s="841"/>
      <c r="E2730" s="841"/>
      <c r="F2730" s="841"/>
      <c r="G2730" s="81" t="s">
        <v>127</v>
      </c>
      <c r="I2730" s="480" t="s">
        <v>1901</v>
      </c>
      <c r="J2730" s="80"/>
      <c r="K2730" s="80"/>
    </row>
    <row r="2731" spans="1:11" ht="50.1" customHeight="1">
      <c r="A2731" s="179" t="s">
        <v>675</v>
      </c>
      <c r="B2731" s="82"/>
      <c r="C2731" s="830" t="s">
        <v>676</v>
      </c>
      <c r="D2731" s="831"/>
      <c r="E2731" s="831"/>
      <c r="F2731" s="186">
        <f>G2751</f>
        <v>1516.3126750000001</v>
      </c>
      <c r="G2731" s="83" t="s">
        <v>167</v>
      </c>
      <c r="I2731" s="481"/>
      <c r="J2731" s="272"/>
      <c r="K2731" s="272"/>
    </row>
    <row r="2732" spans="1:11">
      <c r="A2732" s="818" t="s">
        <v>1902</v>
      </c>
      <c r="B2732" s="819"/>
      <c r="C2732" s="819"/>
      <c r="D2732" s="819"/>
      <c r="E2732" s="819"/>
      <c r="F2732" s="819"/>
      <c r="G2732" s="820"/>
    </row>
    <row r="2733" spans="1:11">
      <c r="A2733" s="84" t="s">
        <v>1903</v>
      </c>
      <c r="B2733" s="84" t="s">
        <v>131</v>
      </c>
      <c r="C2733" s="160" t="s">
        <v>1904</v>
      </c>
      <c r="D2733" s="84" t="s">
        <v>167</v>
      </c>
      <c r="E2733" s="85" t="s">
        <v>1905</v>
      </c>
      <c r="F2733" s="86" t="s">
        <v>1906</v>
      </c>
      <c r="G2733" s="86" t="s">
        <v>1907</v>
      </c>
    </row>
    <row r="2734" spans="1:11" ht="36">
      <c r="A2734" s="87" t="s">
        <v>1917</v>
      </c>
      <c r="B2734" s="87" t="s">
        <v>2069</v>
      </c>
      <c r="C2734" s="278" t="s">
        <v>676</v>
      </c>
      <c r="D2734" s="89" t="s">
        <v>167</v>
      </c>
      <c r="E2734" s="88">
        <v>1</v>
      </c>
      <c r="F2734" s="89">
        <f>'Mapa Cotações'!M108</f>
        <v>1273.155015</v>
      </c>
      <c r="G2734" s="89">
        <f>F2734*E2734</f>
        <v>1273.155015</v>
      </c>
    </row>
    <row r="2735" spans="1:11" ht="24">
      <c r="A2735" s="87" t="s">
        <v>2</v>
      </c>
      <c r="B2735" s="87">
        <v>11002</v>
      </c>
      <c r="C2735" s="278" t="s">
        <v>2048</v>
      </c>
      <c r="D2735" s="89" t="s">
        <v>2049</v>
      </c>
      <c r="E2735" s="88">
        <v>0.2145</v>
      </c>
      <c r="F2735" s="89">
        <v>53.56</v>
      </c>
      <c r="G2735" s="89">
        <v>11.488620000000001</v>
      </c>
    </row>
    <row r="2736" spans="1:11">
      <c r="A2736" s="832" t="s">
        <v>1908</v>
      </c>
      <c r="B2736" s="833"/>
      <c r="C2736" s="833"/>
      <c r="D2736" s="833"/>
      <c r="E2736" s="833"/>
      <c r="F2736" s="834"/>
      <c r="G2736" s="90">
        <f>SUM(G2734:G2735)</f>
        <v>1284.6436350000001</v>
      </c>
    </row>
    <row r="2737" spans="1:7">
      <c r="A2737" s="91"/>
      <c r="B2737" s="92"/>
      <c r="C2737" s="161"/>
      <c r="D2737" s="93"/>
      <c r="E2737" s="94"/>
      <c r="F2737" s="95"/>
      <c r="G2737" s="96"/>
    </row>
    <row r="2738" spans="1:7">
      <c r="A2738" s="835" t="s">
        <v>1909</v>
      </c>
      <c r="B2738" s="836"/>
      <c r="C2738" s="836"/>
      <c r="D2738" s="836"/>
      <c r="E2738" s="836"/>
      <c r="F2738" s="836"/>
      <c r="G2738" s="837"/>
    </row>
    <row r="2739" spans="1:7">
      <c r="A2739" s="84" t="s">
        <v>1903</v>
      </c>
      <c r="B2739" s="84" t="s">
        <v>131</v>
      </c>
      <c r="C2739" s="160" t="s">
        <v>1904</v>
      </c>
      <c r="D2739" s="84" t="s">
        <v>167</v>
      </c>
      <c r="E2739" s="85" t="s">
        <v>1905</v>
      </c>
      <c r="F2739" s="86" t="s">
        <v>1906</v>
      </c>
      <c r="G2739" s="86" t="s">
        <v>1907</v>
      </c>
    </row>
    <row r="2740" spans="1:7" ht="24">
      <c r="A2740" s="87" t="s">
        <v>2</v>
      </c>
      <c r="B2740" s="87">
        <v>88248</v>
      </c>
      <c r="C2740" s="278" t="s">
        <v>1947</v>
      </c>
      <c r="D2740" s="89" t="s">
        <v>137</v>
      </c>
      <c r="E2740" s="88">
        <v>3.0640000000000001</v>
      </c>
      <c r="F2740" s="89">
        <v>21.45</v>
      </c>
      <c r="G2740" s="89">
        <v>65.722799999999992</v>
      </c>
    </row>
    <row r="2741" spans="1:7" ht="24">
      <c r="A2741" s="87" t="s">
        <v>2</v>
      </c>
      <c r="B2741" s="87">
        <v>88267</v>
      </c>
      <c r="C2741" s="278" t="s">
        <v>1949</v>
      </c>
      <c r="D2741" s="89" t="s">
        <v>137</v>
      </c>
      <c r="E2741" s="88">
        <v>3.0640000000000001</v>
      </c>
      <c r="F2741" s="89">
        <v>26.33</v>
      </c>
      <c r="G2741" s="89">
        <v>80.675119999999993</v>
      </c>
    </row>
    <row r="2742" spans="1:7">
      <c r="A2742" s="87" t="s">
        <v>2</v>
      </c>
      <c r="B2742" s="87">
        <v>88317</v>
      </c>
      <c r="C2742" s="278" t="s">
        <v>1970</v>
      </c>
      <c r="D2742" s="89" t="s">
        <v>137</v>
      </c>
      <c r="E2742" s="88">
        <v>3.0640000000000001</v>
      </c>
      <c r="F2742" s="89">
        <v>27.83</v>
      </c>
      <c r="G2742" s="89">
        <v>85.271119999999996</v>
      </c>
    </row>
    <row r="2743" spans="1:7">
      <c r="A2743" s="832" t="s">
        <v>1908</v>
      </c>
      <c r="B2743" s="833"/>
      <c r="C2743" s="833"/>
      <c r="D2743" s="833"/>
      <c r="E2743" s="833"/>
      <c r="F2743" s="834"/>
      <c r="G2743" s="90">
        <f>SUM(G2740:G2742)</f>
        <v>231.66904</v>
      </c>
    </row>
    <row r="2744" spans="1:7">
      <c r="A2744" s="91"/>
      <c r="B2744" s="92"/>
      <c r="C2744" s="162"/>
      <c r="D2744" s="92"/>
      <c r="E2744" s="97"/>
      <c r="F2744" s="98"/>
      <c r="G2744" s="96"/>
    </row>
    <row r="2745" spans="1:7">
      <c r="A2745" s="835" t="s">
        <v>1912</v>
      </c>
      <c r="B2745" s="836"/>
      <c r="C2745" s="836"/>
      <c r="D2745" s="836"/>
      <c r="E2745" s="836"/>
      <c r="F2745" s="836"/>
      <c r="G2745" s="837"/>
    </row>
    <row r="2746" spans="1:7">
      <c r="A2746" s="84" t="s">
        <v>1903</v>
      </c>
      <c r="B2746" s="84" t="s">
        <v>131</v>
      </c>
      <c r="C2746" s="160" t="s">
        <v>1904</v>
      </c>
      <c r="D2746" s="84" t="s">
        <v>167</v>
      </c>
      <c r="E2746" s="85" t="s">
        <v>1905</v>
      </c>
      <c r="F2746" s="86" t="s">
        <v>1906</v>
      </c>
      <c r="G2746" s="86" t="s">
        <v>1907</v>
      </c>
    </row>
    <row r="2747" spans="1:7">
      <c r="A2747" s="87"/>
      <c r="B2747" s="87"/>
      <c r="C2747" s="278" t="s">
        <v>34</v>
      </c>
      <c r="D2747" s="89" t="s">
        <v>34</v>
      </c>
      <c r="E2747" s="88"/>
      <c r="F2747" s="89" t="s">
        <v>34</v>
      </c>
      <c r="G2747" s="89" t="s">
        <v>34</v>
      </c>
    </row>
    <row r="2748" spans="1:7">
      <c r="A2748" s="87"/>
      <c r="B2748" s="87"/>
      <c r="C2748" s="278" t="s">
        <v>34</v>
      </c>
      <c r="D2748" s="89" t="s">
        <v>34</v>
      </c>
      <c r="E2748" s="88"/>
      <c r="F2748" s="89" t="s">
        <v>34</v>
      </c>
      <c r="G2748" s="89" t="s">
        <v>34</v>
      </c>
    </row>
    <row r="2749" spans="1:7">
      <c r="A2749" s="832" t="s">
        <v>1908</v>
      </c>
      <c r="B2749" s="833" t="s">
        <v>1908</v>
      </c>
      <c r="C2749" s="833"/>
      <c r="D2749" s="833"/>
      <c r="E2749" s="833"/>
      <c r="F2749" s="834"/>
      <c r="G2749" s="90" t="s">
        <v>34</v>
      </c>
    </row>
    <row r="2750" spans="1:7" ht="13.5" thickBot="1">
      <c r="A2750" s="91"/>
      <c r="B2750" s="92"/>
      <c r="C2750" s="163"/>
      <c r="D2750" s="99"/>
      <c r="E2750" s="100"/>
      <c r="F2750" s="101"/>
      <c r="G2750" s="102"/>
    </row>
    <row r="2751" spans="1:7" ht="13.5" thickBot="1">
      <c r="A2751" s="838" t="s">
        <v>1259</v>
      </c>
      <c r="B2751" s="839"/>
      <c r="C2751" s="839"/>
      <c r="D2751" s="839"/>
      <c r="E2751" s="839"/>
      <c r="F2751" s="840"/>
      <c r="G2751" s="103">
        <f>G2743+G2736</f>
        <v>1516.3126750000001</v>
      </c>
    </row>
    <row r="2754" spans="1:11">
      <c r="A2754" s="237" t="s">
        <v>131</v>
      </c>
      <c r="B2754" s="190" t="s">
        <v>27</v>
      </c>
      <c r="C2754" s="841" t="s">
        <v>1281</v>
      </c>
      <c r="D2754" s="841"/>
      <c r="E2754" s="841"/>
      <c r="F2754" s="841"/>
      <c r="G2754" s="81" t="s">
        <v>127</v>
      </c>
      <c r="I2754" s="480" t="s">
        <v>1901</v>
      </c>
      <c r="J2754" s="80"/>
      <c r="K2754" s="80"/>
    </row>
    <row r="2755" spans="1:11" ht="50.1" customHeight="1">
      <c r="A2755" s="179" t="s">
        <v>678</v>
      </c>
      <c r="B2755" s="82"/>
      <c r="C2755" s="830" t="s">
        <v>679</v>
      </c>
      <c r="D2755" s="831"/>
      <c r="E2755" s="831"/>
      <c r="F2755" s="186">
        <f>G2775</f>
        <v>1435.0604999999998</v>
      </c>
      <c r="G2755" s="83" t="s">
        <v>167</v>
      </c>
      <c r="I2755" s="481"/>
      <c r="J2755" s="272"/>
      <c r="K2755" s="272"/>
    </row>
    <row r="2756" spans="1:11">
      <c r="A2756" s="818" t="s">
        <v>1902</v>
      </c>
      <c r="B2756" s="819"/>
      <c r="C2756" s="819"/>
      <c r="D2756" s="819"/>
      <c r="E2756" s="819"/>
      <c r="F2756" s="819"/>
      <c r="G2756" s="820"/>
    </row>
    <row r="2757" spans="1:11">
      <c r="A2757" s="84" t="s">
        <v>1903</v>
      </c>
      <c r="B2757" s="84" t="s">
        <v>131</v>
      </c>
      <c r="C2757" s="160" t="s">
        <v>1904</v>
      </c>
      <c r="D2757" s="84" t="s">
        <v>167</v>
      </c>
      <c r="E2757" s="85" t="s">
        <v>1905</v>
      </c>
      <c r="F2757" s="86" t="s">
        <v>1906</v>
      </c>
      <c r="G2757" s="86" t="s">
        <v>1907</v>
      </c>
    </row>
    <row r="2758" spans="1:11" ht="36">
      <c r="A2758" s="87" t="s">
        <v>1917</v>
      </c>
      <c r="B2758" s="87" t="s">
        <v>2070</v>
      </c>
      <c r="C2758" s="278" t="s">
        <v>679</v>
      </c>
      <c r="D2758" s="89" t="s">
        <v>167</v>
      </c>
      <c r="E2758" s="88">
        <v>1</v>
      </c>
      <c r="F2758" s="89">
        <f>'Mapa Cotações'!M109</f>
        <v>1135.03</v>
      </c>
      <c r="G2758" s="89">
        <f>F2758*E2758</f>
        <v>1135.03</v>
      </c>
    </row>
    <row r="2759" spans="1:11" ht="24">
      <c r="A2759" s="87" t="s">
        <v>2</v>
      </c>
      <c r="B2759" s="87">
        <v>11002</v>
      </c>
      <c r="C2759" s="278" t="s">
        <v>2048</v>
      </c>
      <c r="D2759" s="89" t="s">
        <v>2049</v>
      </c>
      <c r="E2759" s="88">
        <v>0.19500000000000001</v>
      </c>
      <c r="F2759" s="89">
        <v>53.56</v>
      </c>
      <c r="G2759" s="89">
        <v>10.4442</v>
      </c>
    </row>
    <row r="2760" spans="1:11">
      <c r="A2760" s="832" t="s">
        <v>1908</v>
      </c>
      <c r="B2760" s="833"/>
      <c r="C2760" s="833"/>
      <c r="D2760" s="833"/>
      <c r="E2760" s="833"/>
      <c r="F2760" s="834"/>
      <c r="G2760" s="90">
        <f>SUM(G2758:G2759)</f>
        <v>1145.4741999999999</v>
      </c>
    </row>
    <row r="2761" spans="1:11">
      <c r="A2761" s="91"/>
      <c r="B2761" s="92"/>
      <c r="C2761" s="161"/>
      <c r="D2761" s="93"/>
      <c r="E2761" s="94"/>
      <c r="F2761" s="95"/>
      <c r="G2761" s="96"/>
    </row>
    <row r="2762" spans="1:11">
      <c r="A2762" s="835" t="s">
        <v>1909</v>
      </c>
      <c r="B2762" s="836"/>
      <c r="C2762" s="836"/>
      <c r="D2762" s="836"/>
      <c r="E2762" s="836"/>
      <c r="F2762" s="836"/>
      <c r="G2762" s="837"/>
    </row>
    <row r="2763" spans="1:11">
      <c r="A2763" s="84" t="s">
        <v>1903</v>
      </c>
      <c r="B2763" s="84" t="s">
        <v>131</v>
      </c>
      <c r="C2763" s="160" t="s">
        <v>1904</v>
      </c>
      <c r="D2763" s="84" t="s">
        <v>167</v>
      </c>
      <c r="E2763" s="85" t="s">
        <v>1905</v>
      </c>
      <c r="F2763" s="86" t="s">
        <v>1906</v>
      </c>
      <c r="G2763" s="86" t="s">
        <v>1907</v>
      </c>
    </row>
    <row r="2764" spans="1:11" ht="24">
      <c r="A2764" s="87" t="s">
        <v>2</v>
      </c>
      <c r="B2764" s="87">
        <v>88248</v>
      </c>
      <c r="C2764" s="278" t="s">
        <v>1947</v>
      </c>
      <c r="D2764" s="89" t="s">
        <v>137</v>
      </c>
      <c r="E2764" s="88">
        <v>3.83</v>
      </c>
      <c r="F2764" s="89">
        <v>21.45</v>
      </c>
      <c r="G2764" s="89">
        <v>82.153499999999994</v>
      </c>
    </row>
    <row r="2765" spans="1:11" ht="24">
      <c r="A2765" s="87" t="s">
        <v>2</v>
      </c>
      <c r="B2765" s="87">
        <v>88267</v>
      </c>
      <c r="C2765" s="278" t="s">
        <v>1949</v>
      </c>
      <c r="D2765" s="89" t="s">
        <v>137</v>
      </c>
      <c r="E2765" s="88">
        <v>3.83</v>
      </c>
      <c r="F2765" s="89">
        <v>26.33</v>
      </c>
      <c r="G2765" s="89">
        <v>100.84389999999999</v>
      </c>
    </row>
    <row r="2766" spans="1:11">
      <c r="A2766" s="87" t="s">
        <v>2</v>
      </c>
      <c r="B2766" s="87">
        <v>88317</v>
      </c>
      <c r="C2766" s="278" t="s">
        <v>1970</v>
      </c>
      <c r="D2766" s="89" t="s">
        <v>137</v>
      </c>
      <c r="E2766" s="88">
        <v>3.83</v>
      </c>
      <c r="F2766" s="89">
        <v>27.83</v>
      </c>
      <c r="G2766" s="89">
        <v>106.5889</v>
      </c>
    </row>
    <row r="2767" spans="1:11">
      <c r="A2767" s="832" t="s">
        <v>1908</v>
      </c>
      <c r="B2767" s="833"/>
      <c r="C2767" s="833"/>
      <c r="D2767" s="833"/>
      <c r="E2767" s="833"/>
      <c r="F2767" s="834"/>
      <c r="G2767" s="90">
        <f>SUM(G2764:G2766)</f>
        <v>289.58629999999994</v>
      </c>
    </row>
    <row r="2768" spans="1:11">
      <c r="A2768" s="91"/>
      <c r="B2768" s="92"/>
      <c r="C2768" s="162"/>
      <c r="D2768" s="92"/>
      <c r="E2768" s="97"/>
      <c r="F2768" s="98"/>
      <c r="G2768" s="96"/>
    </row>
    <row r="2769" spans="1:11">
      <c r="A2769" s="835" t="s">
        <v>1912</v>
      </c>
      <c r="B2769" s="836"/>
      <c r="C2769" s="836"/>
      <c r="D2769" s="836"/>
      <c r="E2769" s="836"/>
      <c r="F2769" s="836"/>
      <c r="G2769" s="837"/>
    </row>
    <row r="2770" spans="1:11">
      <c r="A2770" s="84" t="s">
        <v>1903</v>
      </c>
      <c r="B2770" s="84" t="s">
        <v>131</v>
      </c>
      <c r="C2770" s="160" t="s">
        <v>1904</v>
      </c>
      <c r="D2770" s="84" t="s">
        <v>167</v>
      </c>
      <c r="E2770" s="85" t="s">
        <v>1905</v>
      </c>
      <c r="F2770" s="86" t="s">
        <v>1906</v>
      </c>
      <c r="G2770" s="86" t="s">
        <v>1907</v>
      </c>
    </row>
    <row r="2771" spans="1:11">
      <c r="A2771" s="87"/>
      <c r="B2771" s="87"/>
      <c r="C2771" s="278" t="s">
        <v>34</v>
      </c>
      <c r="D2771" s="89" t="s">
        <v>34</v>
      </c>
      <c r="E2771" s="88"/>
      <c r="F2771" s="89" t="s">
        <v>34</v>
      </c>
      <c r="G2771" s="89" t="s">
        <v>34</v>
      </c>
    </row>
    <row r="2772" spans="1:11">
      <c r="A2772" s="87"/>
      <c r="B2772" s="87"/>
      <c r="C2772" s="278" t="s">
        <v>34</v>
      </c>
      <c r="D2772" s="89" t="s">
        <v>34</v>
      </c>
      <c r="E2772" s="88"/>
      <c r="F2772" s="89" t="s">
        <v>34</v>
      </c>
      <c r="G2772" s="89" t="s">
        <v>34</v>
      </c>
    </row>
    <row r="2773" spans="1:11">
      <c r="A2773" s="832" t="s">
        <v>1908</v>
      </c>
      <c r="B2773" s="833" t="s">
        <v>1908</v>
      </c>
      <c r="C2773" s="833"/>
      <c r="D2773" s="833"/>
      <c r="E2773" s="833"/>
      <c r="F2773" s="834"/>
      <c r="G2773" s="90" t="s">
        <v>34</v>
      </c>
    </row>
    <row r="2774" spans="1:11" ht="13.5" thickBot="1">
      <c r="A2774" s="91"/>
      <c r="B2774" s="92"/>
      <c r="C2774" s="163"/>
      <c r="D2774" s="99"/>
      <c r="E2774" s="100"/>
      <c r="F2774" s="101"/>
      <c r="G2774" s="102"/>
    </row>
    <row r="2775" spans="1:11" ht="13.5" thickBot="1">
      <c r="A2775" s="838" t="s">
        <v>1259</v>
      </c>
      <c r="B2775" s="839"/>
      <c r="C2775" s="839"/>
      <c r="D2775" s="839"/>
      <c r="E2775" s="839"/>
      <c r="F2775" s="840"/>
      <c r="G2775" s="103">
        <f>G2767+G2760</f>
        <v>1435.0604999999998</v>
      </c>
    </row>
    <row r="2778" spans="1:11">
      <c r="A2778" s="237" t="s">
        <v>131</v>
      </c>
      <c r="B2778" s="190" t="s">
        <v>27</v>
      </c>
      <c r="C2778" s="841" t="s">
        <v>1281</v>
      </c>
      <c r="D2778" s="841"/>
      <c r="E2778" s="841"/>
      <c r="F2778" s="841"/>
      <c r="G2778" s="81" t="s">
        <v>127</v>
      </c>
      <c r="I2778" s="480" t="s">
        <v>1901</v>
      </c>
      <c r="J2778" s="80"/>
      <c r="K2778" s="80"/>
    </row>
    <row r="2779" spans="1:11" ht="50.1" customHeight="1">
      <c r="A2779" s="179" t="s">
        <v>681</v>
      </c>
      <c r="B2779" s="82"/>
      <c r="C2779" s="830" t="s">
        <v>682</v>
      </c>
      <c r="D2779" s="831"/>
      <c r="E2779" s="831"/>
      <c r="F2779" s="186">
        <f>G2799</f>
        <v>1513.1794150000001</v>
      </c>
      <c r="G2779" s="83" t="s">
        <v>167</v>
      </c>
      <c r="I2779" s="481"/>
      <c r="J2779" s="272"/>
      <c r="K2779" s="272"/>
    </row>
    <row r="2780" spans="1:11">
      <c r="A2780" s="818" t="s">
        <v>1902</v>
      </c>
      <c r="B2780" s="819"/>
      <c r="C2780" s="819"/>
      <c r="D2780" s="819"/>
      <c r="E2780" s="819"/>
      <c r="F2780" s="819"/>
      <c r="G2780" s="820"/>
    </row>
    <row r="2781" spans="1:11">
      <c r="A2781" s="84" t="s">
        <v>1903</v>
      </c>
      <c r="B2781" s="84" t="s">
        <v>131</v>
      </c>
      <c r="C2781" s="160" t="s">
        <v>1904</v>
      </c>
      <c r="D2781" s="84" t="s">
        <v>167</v>
      </c>
      <c r="E2781" s="85" t="s">
        <v>1905</v>
      </c>
      <c r="F2781" s="86" t="s">
        <v>1906</v>
      </c>
      <c r="G2781" s="86" t="s">
        <v>1907</v>
      </c>
    </row>
    <row r="2782" spans="1:11" ht="36">
      <c r="A2782" s="87" t="s">
        <v>1917</v>
      </c>
      <c r="B2782" s="87" t="s">
        <v>2071</v>
      </c>
      <c r="C2782" s="278" t="s">
        <v>682</v>
      </c>
      <c r="D2782" s="89" t="s">
        <v>167</v>
      </c>
      <c r="E2782" s="88">
        <v>1</v>
      </c>
      <c r="F2782" s="89">
        <f>'Mapa Cotações'!M110</f>
        <v>1273.155015</v>
      </c>
      <c r="G2782" s="89">
        <f>F2782*E2782</f>
        <v>1273.155015</v>
      </c>
    </row>
    <row r="2783" spans="1:11" ht="24">
      <c r="A2783" s="87" t="s">
        <v>2</v>
      </c>
      <c r="B2783" s="87">
        <v>11002</v>
      </c>
      <c r="C2783" s="278" t="s">
        <v>2048</v>
      </c>
      <c r="D2783" s="89" t="s">
        <v>2049</v>
      </c>
      <c r="E2783" s="88">
        <v>0.156</v>
      </c>
      <c r="F2783" s="89">
        <v>53.56</v>
      </c>
      <c r="G2783" s="89">
        <v>8.355360000000001</v>
      </c>
    </row>
    <row r="2784" spans="1:11">
      <c r="A2784" s="832" t="s">
        <v>1908</v>
      </c>
      <c r="B2784" s="833"/>
      <c r="C2784" s="833"/>
      <c r="D2784" s="833"/>
      <c r="E2784" s="833"/>
      <c r="F2784" s="834"/>
      <c r="G2784" s="90">
        <f>SUM(G2782:G2783)</f>
        <v>1281.5103750000001</v>
      </c>
    </row>
    <row r="2785" spans="1:7">
      <c r="A2785" s="91"/>
      <c r="B2785" s="92"/>
      <c r="C2785" s="161"/>
      <c r="D2785" s="93"/>
      <c r="E2785" s="94"/>
      <c r="F2785" s="95"/>
      <c r="G2785" s="96"/>
    </row>
    <row r="2786" spans="1:7">
      <c r="A2786" s="835" t="s">
        <v>1909</v>
      </c>
      <c r="B2786" s="836"/>
      <c r="C2786" s="836"/>
      <c r="D2786" s="836"/>
      <c r="E2786" s="836"/>
      <c r="F2786" s="836"/>
      <c r="G2786" s="837"/>
    </row>
    <row r="2787" spans="1:7">
      <c r="A2787" s="84" t="s">
        <v>1903</v>
      </c>
      <c r="B2787" s="84" t="s">
        <v>131</v>
      </c>
      <c r="C2787" s="160" t="s">
        <v>1904</v>
      </c>
      <c r="D2787" s="84" t="s">
        <v>167</v>
      </c>
      <c r="E2787" s="85" t="s">
        <v>1905</v>
      </c>
      <c r="F2787" s="86" t="s">
        <v>1906</v>
      </c>
      <c r="G2787" s="86" t="s">
        <v>1907</v>
      </c>
    </row>
    <row r="2788" spans="1:7" ht="24">
      <c r="A2788" s="87" t="s">
        <v>2</v>
      </c>
      <c r="B2788" s="87">
        <v>88248</v>
      </c>
      <c r="C2788" s="278" t="s">
        <v>1947</v>
      </c>
      <c r="D2788" s="89" t="s">
        <v>137</v>
      </c>
      <c r="E2788" s="88">
        <v>3.0640000000000001</v>
      </c>
      <c r="F2788" s="89">
        <v>21.45</v>
      </c>
      <c r="G2788" s="89">
        <v>65.722799999999992</v>
      </c>
    </row>
    <row r="2789" spans="1:7" ht="24">
      <c r="A2789" s="87" t="s">
        <v>2</v>
      </c>
      <c r="B2789" s="87">
        <v>88267</v>
      </c>
      <c r="C2789" s="278" t="s">
        <v>1949</v>
      </c>
      <c r="D2789" s="89" t="s">
        <v>137</v>
      </c>
      <c r="E2789" s="88">
        <v>3.0640000000000001</v>
      </c>
      <c r="F2789" s="89">
        <v>26.33</v>
      </c>
      <c r="G2789" s="89">
        <v>80.675119999999993</v>
      </c>
    </row>
    <row r="2790" spans="1:7">
      <c r="A2790" s="87" t="s">
        <v>2</v>
      </c>
      <c r="B2790" s="87">
        <v>88317</v>
      </c>
      <c r="C2790" s="278" t="s">
        <v>1970</v>
      </c>
      <c r="D2790" s="89" t="s">
        <v>137</v>
      </c>
      <c r="E2790" s="88">
        <v>3.0640000000000001</v>
      </c>
      <c r="F2790" s="89">
        <v>27.83</v>
      </c>
      <c r="G2790" s="89">
        <v>85.271119999999996</v>
      </c>
    </row>
    <row r="2791" spans="1:7">
      <c r="A2791" s="832" t="s">
        <v>1908</v>
      </c>
      <c r="B2791" s="833"/>
      <c r="C2791" s="833"/>
      <c r="D2791" s="833"/>
      <c r="E2791" s="833"/>
      <c r="F2791" s="834"/>
      <c r="G2791" s="90">
        <f>SUM(G2788:G2790)</f>
        <v>231.66904</v>
      </c>
    </row>
    <row r="2792" spans="1:7">
      <c r="A2792" s="91"/>
      <c r="B2792" s="92"/>
      <c r="C2792" s="162"/>
      <c r="D2792" s="92"/>
      <c r="E2792" s="97"/>
      <c r="F2792" s="98"/>
      <c r="G2792" s="96"/>
    </row>
    <row r="2793" spans="1:7">
      <c r="A2793" s="835" t="s">
        <v>1912</v>
      </c>
      <c r="B2793" s="836"/>
      <c r="C2793" s="836"/>
      <c r="D2793" s="836"/>
      <c r="E2793" s="836"/>
      <c r="F2793" s="836"/>
      <c r="G2793" s="837"/>
    </row>
    <row r="2794" spans="1:7">
      <c r="A2794" s="84" t="s">
        <v>1903</v>
      </c>
      <c r="B2794" s="84" t="s">
        <v>131</v>
      </c>
      <c r="C2794" s="160" t="s">
        <v>1904</v>
      </c>
      <c r="D2794" s="84" t="s">
        <v>167</v>
      </c>
      <c r="E2794" s="85" t="s">
        <v>1905</v>
      </c>
      <c r="F2794" s="86" t="s">
        <v>1906</v>
      </c>
      <c r="G2794" s="86" t="s">
        <v>1907</v>
      </c>
    </row>
    <row r="2795" spans="1:7">
      <c r="A2795" s="87"/>
      <c r="B2795" s="87"/>
      <c r="C2795" s="278" t="s">
        <v>34</v>
      </c>
      <c r="D2795" s="89" t="s">
        <v>34</v>
      </c>
      <c r="E2795" s="88"/>
      <c r="F2795" s="89" t="s">
        <v>34</v>
      </c>
      <c r="G2795" s="89" t="s">
        <v>34</v>
      </c>
    </row>
    <row r="2796" spans="1:7">
      <c r="A2796" s="87"/>
      <c r="B2796" s="87"/>
      <c r="C2796" s="278" t="s">
        <v>34</v>
      </c>
      <c r="D2796" s="89" t="s">
        <v>34</v>
      </c>
      <c r="E2796" s="88"/>
      <c r="F2796" s="89" t="s">
        <v>34</v>
      </c>
      <c r="G2796" s="89" t="s">
        <v>34</v>
      </c>
    </row>
    <row r="2797" spans="1:7">
      <c r="A2797" s="832" t="s">
        <v>1908</v>
      </c>
      <c r="B2797" s="833" t="s">
        <v>1908</v>
      </c>
      <c r="C2797" s="833"/>
      <c r="D2797" s="833"/>
      <c r="E2797" s="833"/>
      <c r="F2797" s="834"/>
      <c r="G2797" s="90" t="s">
        <v>34</v>
      </c>
    </row>
    <row r="2798" spans="1:7" ht="13.5" thickBot="1">
      <c r="A2798" s="91"/>
      <c r="B2798" s="92"/>
      <c r="C2798" s="163"/>
      <c r="D2798" s="99"/>
      <c r="E2798" s="100"/>
      <c r="F2798" s="101"/>
      <c r="G2798" s="102"/>
    </row>
    <row r="2799" spans="1:7" ht="13.5" thickBot="1">
      <c r="A2799" s="838" t="s">
        <v>1259</v>
      </c>
      <c r="B2799" s="839"/>
      <c r="C2799" s="839"/>
      <c r="D2799" s="839"/>
      <c r="E2799" s="839"/>
      <c r="F2799" s="840"/>
      <c r="G2799" s="103">
        <f>G2791+G2784</f>
        <v>1513.1794150000001</v>
      </c>
    </row>
    <row r="2802" spans="1:11">
      <c r="A2802" s="237" t="s">
        <v>131</v>
      </c>
      <c r="B2802" s="190" t="s">
        <v>27</v>
      </c>
      <c r="C2802" s="841" t="s">
        <v>1281</v>
      </c>
      <c r="D2802" s="841"/>
      <c r="E2802" s="841"/>
      <c r="F2802" s="841"/>
      <c r="G2802" s="81" t="s">
        <v>127</v>
      </c>
      <c r="I2802" s="480" t="s">
        <v>1901</v>
      </c>
      <c r="J2802" s="80"/>
      <c r="K2802" s="80"/>
    </row>
    <row r="2803" spans="1:11" ht="50.1" customHeight="1">
      <c r="A2803" s="179" t="s">
        <v>684</v>
      </c>
      <c r="B2803" s="82"/>
      <c r="C2803" s="830" t="s">
        <v>685</v>
      </c>
      <c r="D2803" s="831"/>
      <c r="E2803" s="831"/>
      <c r="F2803" s="186">
        <f>G2823</f>
        <v>361.17525000000001</v>
      </c>
      <c r="G2803" s="83" t="s">
        <v>167</v>
      </c>
      <c r="I2803" s="481"/>
      <c r="J2803" s="272"/>
      <c r="K2803" s="272"/>
    </row>
    <row r="2804" spans="1:11">
      <c r="A2804" s="818" t="s">
        <v>1902</v>
      </c>
      <c r="B2804" s="819"/>
      <c r="C2804" s="819"/>
      <c r="D2804" s="819"/>
      <c r="E2804" s="819"/>
      <c r="F2804" s="819"/>
      <c r="G2804" s="820"/>
    </row>
    <row r="2805" spans="1:11">
      <c r="A2805" s="84" t="s">
        <v>1903</v>
      </c>
      <c r="B2805" s="84" t="s">
        <v>131</v>
      </c>
      <c r="C2805" s="160" t="s">
        <v>1904</v>
      </c>
      <c r="D2805" s="84" t="s">
        <v>167</v>
      </c>
      <c r="E2805" s="85" t="s">
        <v>1905</v>
      </c>
      <c r="F2805" s="86" t="s">
        <v>1906</v>
      </c>
      <c r="G2805" s="86" t="s">
        <v>1907</v>
      </c>
    </row>
    <row r="2806" spans="1:11" ht="36">
      <c r="A2806" s="87" t="s">
        <v>1917</v>
      </c>
      <c r="B2806" s="87" t="s">
        <v>2072</v>
      </c>
      <c r="C2806" s="278" t="s">
        <v>685</v>
      </c>
      <c r="D2806" s="89" t="s">
        <v>167</v>
      </c>
      <c r="E2806" s="88">
        <v>1</v>
      </c>
      <c r="F2806" s="89">
        <f>'Mapa Cotações'!M111</f>
        <v>211.16</v>
      </c>
      <c r="G2806" s="89">
        <f>F2806*E2806</f>
        <v>211.16</v>
      </c>
    </row>
    <row r="2807" spans="1:11" ht="24">
      <c r="A2807" s="87" t="s">
        <v>2</v>
      </c>
      <c r="B2807" s="87">
        <v>11002</v>
      </c>
      <c r="C2807" s="278" t="s">
        <v>2048</v>
      </c>
      <c r="D2807" s="89" t="s">
        <v>2049</v>
      </c>
      <c r="E2807" s="88">
        <v>9.7500000000000003E-2</v>
      </c>
      <c r="F2807" s="89">
        <v>53.56</v>
      </c>
      <c r="G2807" s="89">
        <v>5.2221000000000002</v>
      </c>
    </row>
    <row r="2808" spans="1:11">
      <c r="A2808" s="832" t="s">
        <v>1908</v>
      </c>
      <c r="B2808" s="833"/>
      <c r="C2808" s="833"/>
      <c r="D2808" s="833"/>
      <c r="E2808" s="833"/>
      <c r="F2808" s="834"/>
      <c r="G2808" s="90">
        <f>SUM(G2806:G2807)</f>
        <v>216.38210000000001</v>
      </c>
    </row>
    <row r="2809" spans="1:11">
      <c r="A2809" s="91"/>
      <c r="B2809" s="92"/>
      <c r="C2809" s="161"/>
      <c r="D2809" s="93"/>
      <c r="E2809" s="94"/>
      <c r="F2809" s="95"/>
      <c r="G2809" s="96"/>
    </row>
    <row r="2810" spans="1:11">
      <c r="A2810" s="835" t="s">
        <v>1909</v>
      </c>
      <c r="B2810" s="836"/>
      <c r="C2810" s="836"/>
      <c r="D2810" s="836"/>
      <c r="E2810" s="836"/>
      <c r="F2810" s="836"/>
      <c r="G2810" s="837"/>
    </row>
    <row r="2811" spans="1:11">
      <c r="A2811" s="84" t="s">
        <v>1903</v>
      </c>
      <c r="B2811" s="84" t="s">
        <v>131</v>
      </c>
      <c r="C2811" s="160" t="s">
        <v>1904</v>
      </c>
      <c r="D2811" s="84" t="s">
        <v>167</v>
      </c>
      <c r="E2811" s="85" t="s">
        <v>1905</v>
      </c>
      <c r="F2811" s="86" t="s">
        <v>1906</v>
      </c>
      <c r="G2811" s="86" t="s">
        <v>1907</v>
      </c>
    </row>
    <row r="2812" spans="1:11" ht="24">
      <c r="A2812" s="87" t="s">
        <v>2</v>
      </c>
      <c r="B2812" s="87">
        <v>88248</v>
      </c>
      <c r="C2812" s="278" t="s">
        <v>1947</v>
      </c>
      <c r="D2812" s="89" t="s">
        <v>137</v>
      </c>
      <c r="E2812" s="88">
        <v>1.915</v>
      </c>
      <c r="F2812" s="89">
        <v>21.45</v>
      </c>
      <c r="G2812" s="89">
        <v>41.076749999999997</v>
      </c>
    </row>
    <row r="2813" spans="1:11" ht="24">
      <c r="A2813" s="87" t="s">
        <v>2</v>
      </c>
      <c r="B2813" s="87">
        <v>88267</v>
      </c>
      <c r="C2813" s="278" t="s">
        <v>1949</v>
      </c>
      <c r="D2813" s="89" t="s">
        <v>137</v>
      </c>
      <c r="E2813" s="88">
        <v>1.915</v>
      </c>
      <c r="F2813" s="89">
        <v>26.33</v>
      </c>
      <c r="G2813" s="89">
        <v>50.421949999999995</v>
      </c>
    </row>
    <row r="2814" spans="1:11">
      <c r="A2814" s="87" t="s">
        <v>2</v>
      </c>
      <c r="B2814" s="87">
        <v>88317</v>
      </c>
      <c r="C2814" s="278" t="s">
        <v>1970</v>
      </c>
      <c r="D2814" s="89" t="s">
        <v>137</v>
      </c>
      <c r="E2814" s="88">
        <v>1.915</v>
      </c>
      <c r="F2814" s="89">
        <v>27.83</v>
      </c>
      <c r="G2814" s="89">
        <v>53.294449999999998</v>
      </c>
    </row>
    <row r="2815" spans="1:11">
      <c r="A2815" s="832" t="s">
        <v>1908</v>
      </c>
      <c r="B2815" s="833"/>
      <c r="C2815" s="833"/>
      <c r="D2815" s="833"/>
      <c r="E2815" s="833"/>
      <c r="F2815" s="834"/>
      <c r="G2815" s="90">
        <f>SUM(G2812:G2814)</f>
        <v>144.79314999999997</v>
      </c>
    </row>
    <row r="2816" spans="1:11">
      <c r="A2816" s="91"/>
      <c r="B2816" s="92"/>
      <c r="C2816" s="162"/>
      <c r="D2816" s="92"/>
      <c r="E2816" s="97"/>
      <c r="F2816" s="98"/>
      <c r="G2816" s="96"/>
    </row>
    <row r="2817" spans="1:11">
      <c r="A2817" s="835" t="s">
        <v>1912</v>
      </c>
      <c r="B2817" s="836"/>
      <c r="C2817" s="836"/>
      <c r="D2817" s="836"/>
      <c r="E2817" s="836"/>
      <c r="F2817" s="836"/>
      <c r="G2817" s="837"/>
    </row>
    <row r="2818" spans="1:11">
      <c r="A2818" s="84" t="s">
        <v>1903</v>
      </c>
      <c r="B2818" s="84" t="s">
        <v>131</v>
      </c>
      <c r="C2818" s="160" t="s">
        <v>1904</v>
      </c>
      <c r="D2818" s="84" t="s">
        <v>167</v>
      </c>
      <c r="E2818" s="85" t="s">
        <v>1905</v>
      </c>
      <c r="F2818" s="86" t="s">
        <v>1906</v>
      </c>
      <c r="G2818" s="86" t="s">
        <v>1907</v>
      </c>
    </row>
    <row r="2819" spans="1:11">
      <c r="A2819" s="87"/>
      <c r="B2819" s="87"/>
      <c r="C2819" s="278" t="s">
        <v>34</v>
      </c>
      <c r="D2819" s="89" t="s">
        <v>34</v>
      </c>
      <c r="E2819" s="88"/>
      <c r="F2819" s="89" t="s">
        <v>34</v>
      </c>
      <c r="G2819" s="89" t="s">
        <v>34</v>
      </c>
    </row>
    <row r="2820" spans="1:11">
      <c r="A2820" s="87"/>
      <c r="B2820" s="87"/>
      <c r="C2820" s="278" t="s">
        <v>34</v>
      </c>
      <c r="D2820" s="89" t="s">
        <v>34</v>
      </c>
      <c r="E2820" s="88"/>
      <c r="F2820" s="89" t="s">
        <v>34</v>
      </c>
      <c r="G2820" s="89" t="s">
        <v>34</v>
      </c>
    </row>
    <row r="2821" spans="1:11">
      <c r="A2821" s="832" t="s">
        <v>1908</v>
      </c>
      <c r="B2821" s="833" t="s">
        <v>1908</v>
      </c>
      <c r="C2821" s="833"/>
      <c r="D2821" s="833"/>
      <c r="E2821" s="833"/>
      <c r="F2821" s="834"/>
      <c r="G2821" s="90" t="s">
        <v>34</v>
      </c>
    </row>
    <row r="2822" spans="1:11" ht="13.5" thickBot="1">
      <c r="A2822" s="91"/>
      <c r="B2822" s="92"/>
      <c r="C2822" s="163"/>
      <c r="D2822" s="99"/>
      <c r="E2822" s="100"/>
      <c r="F2822" s="101"/>
      <c r="G2822" s="102"/>
    </row>
    <row r="2823" spans="1:11" ht="13.5" thickBot="1">
      <c r="A2823" s="838" t="s">
        <v>1259</v>
      </c>
      <c r="B2823" s="839"/>
      <c r="C2823" s="839"/>
      <c r="D2823" s="839"/>
      <c r="E2823" s="839"/>
      <c r="F2823" s="840"/>
      <c r="G2823" s="103">
        <f>G2815+G2808</f>
        <v>361.17525000000001</v>
      </c>
    </row>
    <row r="2826" spans="1:11">
      <c r="A2826" s="237" t="s">
        <v>131</v>
      </c>
      <c r="B2826" s="190" t="s">
        <v>27</v>
      </c>
      <c r="C2826" s="841" t="s">
        <v>1281</v>
      </c>
      <c r="D2826" s="841"/>
      <c r="E2826" s="841"/>
      <c r="F2826" s="841"/>
      <c r="G2826" s="81" t="s">
        <v>127</v>
      </c>
      <c r="I2826" s="480" t="s">
        <v>1901</v>
      </c>
      <c r="J2826" s="80"/>
      <c r="K2826" s="80"/>
    </row>
    <row r="2827" spans="1:11" ht="50.1" customHeight="1">
      <c r="A2827" s="179" t="s">
        <v>689</v>
      </c>
      <c r="B2827" s="82"/>
      <c r="C2827" s="830" t="s">
        <v>690</v>
      </c>
      <c r="D2827" s="831"/>
      <c r="E2827" s="831"/>
      <c r="F2827" s="186">
        <v>159.516795</v>
      </c>
      <c r="G2827" s="83" t="s">
        <v>167</v>
      </c>
      <c r="I2827" s="481"/>
      <c r="J2827" s="272"/>
      <c r="K2827" s="272"/>
    </row>
    <row r="2828" spans="1:11">
      <c r="A2828" s="818" t="s">
        <v>1902</v>
      </c>
      <c r="B2828" s="819"/>
      <c r="C2828" s="819"/>
      <c r="D2828" s="819"/>
      <c r="E2828" s="819"/>
      <c r="F2828" s="819"/>
      <c r="G2828" s="820"/>
    </row>
    <row r="2829" spans="1:11">
      <c r="A2829" s="84" t="s">
        <v>1903</v>
      </c>
      <c r="B2829" s="84" t="s">
        <v>131</v>
      </c>
      <c r="C2829" s="160" t="s">
        <v>1904</v>
      </c>
      <c r="D2829" s="84" t="s">
        <v>167</v>
      </c>
      <c r="E2829" s="85" t="s">
        <v>1905</v>
      </c>
      <c r="F2829" s="86" t="s">
        <v>1906</v>
      </c>
      <c r="G2829" s="86" t="s">
        <v>1907</v>
      </c>
    </row>
    <row r="2830" spans="1:11" ht="24">
      <c r="A2830" s="87" t="s">
        <v>2</v>
      </c>
      <c r="B2830" s="87">
        <v>6317</v>
      </c>
      <c r="C2830" s="278" t="s">
        <v>2073</v>
      </c>
      <c r="D2830" s="89" t="s">
        <v>1930</v>
      </c>
      <c r="E2830" s="88">
        <v>1</v>
      </c>
      <c r="F2830" s="89">
        <v>136.07</v>
      </c>
      <c r="G2830" s="89">
        <v>136.07</v>
      </c>
    </row>
    <row r="2831" spans="1:11">
      <c r="A2831" s="87" t="s">
        <v>2</v>
      </c>
      <c r="B2831" s="87">
        <v>3148</v>
      </c>
      <c r="C2831" s="278" t="s">
        <v>1956</v>
      </c>
      <c r="D2831" s="89" t="s">
        <v>1930</v>
      </c>
      <c r="E2831" s="88">
        <v>1.8000000000000002E-2</v>
      </c>
      <c r="F2831" s="89">
        <v>12.76</v>
      </c>
      <c r="G2831" s="89">
        <v>0.22968000000000002</v>
      </c>
    </row>
    <row r="2832" spans="1:11" ht="24">
      <c r="A2832" s="87" t="s">
        <v>2</v>
      </c>
      <c r="B2832" s="87">
        <v>7307</v>
      </c>
      <c r="C2832" s="278" t="s">
        <v>1961</v>
      </c>
      <c r="D2832" s="89" t="s">
        <v>1962</v>
      </c>
      <c r="E2832" s="88">
        <v>2E-3</v>
      </c>
      <c r="F2832" s="89">
        <v>51.77</v>
      </c>
      <c r="G2832" s="89">
        <v>0.10354000000000001</v>
      </c>
    </row>
    <row r="2833" spans="1:7">
      <c r="A2833" s="832" t="s">
        <v>1908</v>
      </c>
      <c r="B2833" s="833"/>
      <c r="C2833" s="833"/>
      <c r="D2833" s="833"/>
      <c r="E2833" s="833"/>
      <c r="F2833" s="834"/>
      <c r="G2833" s="90">
        <f>SUM(G2830:G2832)</f>
        <v>136.40322</v>
      </c>
    </row>
    <row r="2834" spans="1:7">
      <c r="A2834" s="91"/>
      <c r="B2834" s="92"/>
      <c r="C2834" s="161"/>
      <c r="D2834" s="93"/>
      <c r="E2834" s="94"/>
      <c r="F2834" s="95"/>
      <c r="G2834" s="96"/>
    </row>
    <row r="2835" spans="1:7">
      <c r="A2835" s="835" t="s">
        <v>1909</v>
      </c>
      <c r="B2835" s="836"/>
      <c r="C2835" s="836"/>
      <c r="D2835" s="836"/>
      <c r="E2835" s="836"/>
      <c r="F2835" s="836"/>
      <c r="G2835" s="837"/>
    </row>
    <row r="2836" spans="1:7">
      <c r="A2836" s="84" t="s">
        <v>1903</v>
      </c>
      <c r="B2836" s="84" t="s">
        <v>131</v>
      </c>
      <c r="C2836" s="160" t="s">
        <v>1904</v>
      </c>
      <c r="D2836" s="84" t="s">
        <v>167</v>
      </c>
      <c r="E2836" s="85" t="s">
        <v>1905</v>
      </c>
      <c r="F2836" s="86" t="s">
        <v>1906</v>
      </c>
      <c r="G2836" s="86" t="s">
        <v>1907</v>
      </c>
    </row>
    <row r="2837" spans="1:7" ht="24">
      <c r="A2837" s="87" t="s">
        <v>2</v>
      </c>
      <c r="B2837" s="87">
        <v>88248</v>
      </c>
      <c r="C2837" s="278" t="s">
        <v>1947</v>
      </c>
      <c r="D2837" s="89" t="s">
        <v>137</v>
      </c>
      <c r="E2837" s="88">
        <v>0.48375000000000001</v>
      </c>
      <c r="F2837" s="89">
        <v>21.45</v>
      </c>
      <c r="G2837" s="89">
        <v>10.3764375</v>
      </c>
    </row>
    <row r="2838" spans="1:7" ht="24">
      <c r="A2838" s="87" t="s">
        <v>2</v>
      </c>
      <c r="B2838" s="87">
        <v>88267</v>
      </c>
      <c r="C2838" s="278" t="s">
        <v>1949</v>
      </c>
      <c r="D2838" s="89" t="s">
        <v>137</v>
      </c>
      <c r="E2838" s="88">
        <v>0.48375000000000001</v>
      </c>
      <c r="F2838" s="89">
        <v>26.33</v>
      </c>
      <c r="G2838" s="89">
        <v>12.737137499999999</v>
      </c>
    </row>
    <row r="2839" spans="1:7">
      <c r="A2839" s="832" t="s">
        <v>1908</v>
      </c>
      <c r="B2839" s="833"/>
      <c r="C2839" s="833"/>
      <c r="D2839" s="833"/>
      <c r="E2839" s="833"/>
      <c r="F2839" s="834"/>
      <c r="G2839" s="90">
        <v>23.113574999999997</v>
      </c>
    </row>
    <row r="2840" spans="1:7">
      <c r="A2840" s="91"/>
      <c r="B2840" s="92"/>
      <c r="C2840" s="162"/>
      <c r="D2840" s="92"/>
      <c r="E2840" s="97"/>
      <c r="F2840" s="98"/>
      <c r="G2840" s="96"/>
    </row>
    <row r="2841" spans="1:7">
      <c r="A2841" s="835" t="s">
        <v>1912</v>
      </c>
      <c r="B2841" s="836"/>
      <c r="C2841" s="836"/>
      <c r="D2841" s="836"/>
      <c r="E2841" s="836"/>
      <c r="F2841" s="836"/>
      <c r="G2841" s="837"/>
    </row>
    <row r="2842" spans="1:7">
      <c r="A2842" s="84" t="s">
        <v>1903</v>
      </c>
      <c r="B2842" s="84" t="s">
        <v>131</v>
      </c>
      <c r="C2842" s="160" t="s">
        <v>1904</v>
      </c>
      <c r="D2842" s="84" t="s">
        <v>167</v>
      </c>
      <c r="E2842" s="85" t="s">
        <v>1905</v>
      </c>
      <c r="F2842" s="86" t="s">
        <v>1906</v>
      </c>
      <c r="G2842" s="86" t="s">
        <v>1907</v>
      </c>
    </row>
    <row r="2843" spans="1:7">
      <c r="A2843" s="87"/>
      <c r="B2843" s="87"/>
      <c r="C2843" s="278" t="s">
        <v>34</v>
      </c>
      <c r="D2843" s="89" t="s">
        <v>34</v>
      </c>
      <c r="E2843" s="88"/>
      <c r="F2843" s="89" t="s">
        <v>34</v>
      </c>
      <c r="G2843" s="89" t="s">
        <v>34</v>
      </c>
    </row>
    <row r="2844" spans="1:7">
      <c r="A2844" s="87"/>
      <c r="B2844" s="87"/>
      <c r="C2844" s="278" t="s">
        <v>34</v>
      </c>
      <c r="D2844" s="89" t="s">
        <v>34</v>
      </c>
      <c r="E2844" s="88"/>
      <c r="F2844" s="89" t="s">
        <v>34</v>
      </c>
      <c r="G2844" s="89" t="s">
        <v>34</v>
      </c>
    </row>
    <row r="2845" spans="1:7">
      <c r="A2845" s="832" t="s">
        <v>1908</v>
      </c>
      <c r="B2845" s="833" t="s">
        <v>1908</v>
      </c>
      <c r="C2845" s="833"/>
      <c r="D2845" s="833"/>
      <c r="E2845" s="833"/>
      <c r="F2845" s="834"/>
      <c r="G2845" s="90" t="s">
        <v>34</v>
      </c>
    </row>
    <row r="2846" spans="1:7" ht="13.5" thickBot="1">
      <c r="A2846" s="91"/>
      <c r="B2846" s="92"/>
      <c r="C2846" s="163"/>
      <c r="D2846" s="99"/>
      <c r="E2846" s="100"/>
      <c r="F2846" s="101"/>
      <c r="G2846" s="102"/>
    </row>
    <row r="2847" spans="1:7" ht="13.5" thickBot="1">
      <c r="A2847" s="838" t="s">
        <v>1259</v>
      </c>
      <c r="B2847" s="839"/>
      <c r="C2847" s="839"/>
      <c r="D2847" s="839"/>
      <c r="E2847" s="839"/>
      <c r="F2847" s="840"/>
      <c r="G2847" s="103">
        <v>159.516795</v>
      </c>
    </row>
    <row r="2850" spans="1:11">
      <c r="A2850" s="237" t="s">
        <v>131</v>
      </c>
      <c r="B2850" s="190" t="s">
        <v>27</v>
      </c>
      <c r="C2850" s="841" t="s">
        <v>1281</v>
      </c>
      <c r="D2850" s="841"/>
      <c r="E2850" s="841"/>
      <c r="F2850" s="841"/>
      <c r="G2850" s="81" t="s">
        <v>127</v>
      </c>
      <c r="I2850" s="480" t="s">
        <v>1901</v>
      </c>
      <c r="J2850" s="80"/>
      <c r="K2850" s="80"/>
    </row>
    <row r="2851" spans="1:11" ht="50.1" customHeight="1">
      <c r="A2851" s="179" t="s">
        <v>692</v>
      </c>
      <c r="B2851" s="82"/>
      <c r="C2851" s="830" t="s">
        <v>693</v>
      </c>
      <c r="D2851" s="831"/>
      <c r="E2851" s="831"/>
      <c r="F2851" s="186">
        <f>G2871</f>
        <v>268.51369999999997</v>
      </c>
      <c r="G2851" s="83" t="s">
        <v>167</v>
      </c>
      <c r="I2851" s="481"/>
      <c r="J2851" s="272"/>
      <c r="K2851" s="272"/>
    </row>
    <row r="2852" spans="1:11">
      <c r="A2852" s="818" t="s">
        <v>1902</v>
      </c>
      <c r="B2852" s="819"/>
      <c r="C2852" s="819"/>
      <c r="D2852" s="819"/>
      <c r="E2852" s="819"/>
      <c r="F2852" s="819"/>
      <c r="G2852" s="820"/>
    </row>
    <row r="2853" spans="1:11">
      <c r="A2853" s="84" t="s">
        <v>1903</v>
      </c>
      <c r="B2853" s="84" t="s">
        <v>131</v>
      </c>
      <c r="C2853" s="160" t="s">
        <v>1904</v>
      </c>
      <c r="D2853" s="84" t="s">
        <v>167</v>
      </c>
      <c r="E2853" s="85" t="s">
        <v>1905</v>
      </c>
      <c r="F2853" s="86" t="s">
        <v>1906</v>
      </c>
      <c r="G2853" s="86" t="s">
        <v>1907</v>
      </c>
    </row>
    <row r="2854" spans="1:11" ht="24">
      <c r="A2854" s="87" t="s">
        <v>2</v>
      </c>
      <c r="B2854" s="87">
        <v>1791</v>
      </c>
      <c r="C2854" s="278" t="s">
        <v>2074</v>
      </c>
      <c r="D2854" s="89" t="s">
        <v>1930</v>
      </c>
      <c r="E2854" s="88">
        <v>1</v>
      </c>
      <c r="F2854" s="89">
        <v>229.22</v>
      </c>
      <c r="G2854" s="89">
        <v>229.22</v>
      </c>
    </row>
    <row r="2855" spans="1:11">
      <c r="A2855" s="87" t="s">
        <v>2</v>
      </c>
      <c r="B2855" s="87">
        <v>3148</v>
      </c>
      <c r="C2855" s="278" t="s">
        <v>1956</v>
      </c>
      <c r="D2855" s="89" t="s">
        <v>1930</v>
      </c>
      <c r="E2855" s="88">
        <v>0.03</v>
      </c>
      <c r="F2855" s="89">
        <v>12.76</v>
      </c>
      <c r="G2855" s="89">
        <v>0.38279999999999997</v>
      </c>
    </row>
    <row r="2856" spans="1:11" ht="24">
      <c r="A2856" s="87" t="s">
        <v>2</v>
      </c>
      <c r="B2856" s="87">
        <v>7307</v>
      </c>
      <c r="C2856" s="278" t="s">
        <v>1961</v>
      </c>
      <c r="D2856" s="89" t="s">
        <v>1962</v>
      </c>
      <c r="E2856" s="88">
        <v>7.4999999999999997E-3</v>
      </c>
      <c r="F2856" s="89">
        <v>51.77</v>
      </c>
      <c r="G2856" s="89">
        <v>0.38827500000000004</v>
      </c>
    </row>
    <row r="2857" spans="1:11">
      <c r="A2857" s="832" t="s">
        <v>1908</v>
      </c>
      <c r="B2857" s="833"/>
      <c r="C2857" s="833"/>
      <c r="D2857" s="833"/>
      <c r="E2857" s="833"/>
      <c r="F2857" s="834"/>
      <c r="G2857" s="90">
        <v>229.991075</v>
      </c>
    </row>
    <row r="2858" spans="1:11">
      <c r="A2858" s="91"/>
      <c r="B2858" s="92"/>
      <c r="C2858" s="161"/>
      <c r="D2858" s="93"/>
      <c r="E2858" s="94"/>
      <c r="F2858" s="95"/>
      <c r="G2858" s="96"/>
    </row>
    <row r="2859" spans="1:11">
      <c r="A2859" s="835" t="s">
        <v>1909</v>
      </c>
      <c r="B2859" s="836"/>
      <c r="C2859" s="836"/>
      <c r="D2859" s="836"/>
      <c r="E2859" s="836"/>
      <c r="F2859" s="836"/>
      <c r="G2859" s="837"/>
    </row>
    <row r="2860" spans="1:11">
      <c r="A2860" s="84" t="s">
        <v>1903</v>
      </c>
      <c r="B2860" s="84" t="s">
        <v>131</v>
      </c>
      <c r="C2860" s="160" t="s">
        <v>1904</v>
      </c>
      <c r="D2860" s="84" t="s">
        <v>167</v>
      </c>
      <c r="E2860" s="85" t="s">
        <v>1905</v>
      </c>
      <c r="F2860" s="86" t="s">
        <v>1906</v>
      </c>
      <c r="G2860" s="86" t="s">
        <v>1907</v>
      </c>
    </row>
    <row r="2861" spans="1:11" ht="24">
      <c r="A2861" s="87" t="s">
        <v>2</v>
      </c>
      <c r="B2861" s="87">
        <v>88248</v>
      </c>
      <c r="C2861" s="278" t="s">
        <v>1947</v>
      </c>
      <c r="D2861" s="89" t="s">
        <v>137</v>
      </c>
      <c r="E2861" s="88">
        <v>0.80625000000000002</v>
      </c>
      <c r="F2861" s="89">
        <v>21.45</v>
      </c>
      <c r="G2861" s="89">
        <v>17.294062499999999</v>
      </c>
    </row>
    <row r="2862" spans="1:11" ht="24">
      <c r="A2862" s="87" t="s">
        <v>2</v>
      </c>
      <c r="B2862" s="87">
        <v>88267</v>
      </c>
      <c r="C2862" s="278" t="s">
        <v>1949</v>
      </c>
      <c r="D2862" s="89" t="s">
        <v>137</v>
      </c>
      <c r="E2862" s="88">
        <v>0.80625000000000002</v>
      </c>
      <c r="F2862" s="89">
        <v>26.33</v>
      </c>
      <c r="G2862" s="89">
        <v>21.228562499999999</v>
      </c>
    </row>
    <row r="2863" spans="1:11">
      <c r="A2863" s="832" t="s">
        <v>1908</v>
      </c>
      <c r="B2863" s="833"/>
      <c r="C2863" s="833"/>
      <c r="D2863" s="833"/>
      <c r="E2863" s="833"/>
      <c r="F2863" s="834"/>
      <c r="G2863" s="90">
        <f>SUM(G2861:G2862)</f>
        <v>38.522624999999998</v>
      </c>
    </row>
    <row r="2864" spans="1:11">
      <c r="A2864" s="91"/>
      <c r="B2864" s="92"/>
      <c r="C2864" s="162"/>
      <c r="D2864" s="92"/>
      <c r="E2864" s="97"/>
      <c r="F2864" s="98"/>
      <c r="G2864" s="96"/>
    </row>
    <row r="2865" spans="1:11">
      <c r="A2865" s="835" t="s">
        <v>1912</v>
      </c>
      <c r="B2865" s="836"/>
      <c r="C2865" s="836"/>
      <c r="D2865" s="836"/>
      <c r="E2865" s="836"/>
      <c r="F2865" s="836"/>
      <c r="G2865" s="837"/>
    </row>
    <row r="2866" spans="1:11">
      <c r="A2866" s="84" t="s">
        <v>1903</v>
      </c>
      <c r="B2866" s="84" t="s">
        <v>131</v>
      </c>
      <c r="C2866" s="160" t="s">
        <v>1904</v>
      </c>
      <c r="D2866" s="84" t="s">
        <v>167</v>
      </c>
      <c r="E2866" s="85" t="s">
        <v>1905</v>
      </c>
      <c r="F2866" s="86" t="s">
        <v>1906</v>
      </c>
      <c r="G2866" s="86" t="s">
        <v>1907</v>
      </c>
    </row>
    <row r="2867" spans="1:11">
      <c r="A2867" s="87"/>
      <c r="B2867" s="87"/>
      <c r="C2867" s="278" t="s">
        <v>34</v>
      </c>
      <c r="D2867" s="89" t="s">
        <v>34</v>
      </c>
      <c r="E2867" s="88"/>
      <c r="F2867" s="89" t="s">
        <v>34</v>
      </c>
      <c r="G2867" s="89" t="s">
        <v>34</v>
      </c>
    </row>
    <row r="2868" spans="1:11">
      <c r="A2868" s="87"/>
      <c r="B2868" s="87"/>
      <c r="C2868" s="278" t="s">
        <v>34</v>
      </c>
      <c r="D2868" s="89" t="s">
        <v>34</v>
      </c>
      <c r="E2868" s="88"/>
      <c r="F2868" s="89" t="s">
        <v>34</v>
      </c>
      <c r="G2868" s="89" t="s">
        <v>34</v>
      </c>
    </row>
    <row r="2869" spans="1:11">
      <c r="A2869" s="832" t="s">
        <v>1908</v>
      </c>
      <c r="B2869" s="833" t="s">
        <v>1908</v>
      </c>
      <c r="C2869" s="833"/>
      <c r="D2869" s="833"/>
      <c r="E2869" s="833"/>
      <c r="F2869" s="834"/>
      <c r="G2869" s="90" t="s">
        <v>34</v>
      </c>
    </row>
    <row r="2870" spans="1:11" ht="13.5" thickBot="1">
      <c r="A2870" s="91"/>
      <c r="B2870" s="92"/>
      <c r="C2870" s="163"/>
      <c r="D2870" s="99"/>
      <c r="E2870" s="100"/>
      <c r="F2870" s="101"/>
      <c r="G2870" s="102"/>
    </row>
    <row r="2871" spans="1:11" ht="13.5" thickBot="1">
      <c r="A2871" s="838" t="s">
        <v>1259</v>
      </c>
      <c r="B2871" s="839"/>
      <c r="C2871" s="839"/>
      <c r="D2871" s="839"/>
      <c r="E2871" s="839"/>
      <c r="F2871" s="840"/>
      <c r="G2871" s="103">
        <f>G2863+G2857</f>
        <v>268.51369999999997</v>
      </c>
    </row>
    <row r="2874" spans="1:11">
      <c r="A2874" s="237" t="s">
        <v>131</v>
      </c>
      <c r="B2874" s="190" t="s">
        <v>27</v>
      </c>
      <c r="C2874" s="841" t="s">
        <v>1281</v>
      </c>
      <c r="D2874" s="841"/>
      <c r="E2874" s="841"/>
      <c r="F2874" s="841"/>
      <c r="G2874" s="81" t="s">
        <v>127</v>
      </c>
      <c r="I2874" s="480" t="s">
        <v>1901</v>
      </c>
      <c r="J2874" s="80"/>
      <c r="K2874" s="80"/>
    </row>
    <row r="2875" spans="1:11" ht="50.1" customHeight="1">
      <c r="A2875" s="179" t="s">
        <v>695</v>
      </c>
      <c r="B2875" s="82"/>
      <c r="C2875" s="830" t="s">
        <v>696</v>
      </c>
      <c r="D2875" s="831"/>
      <c r="E2875" s="831"/>
      <c r="F2875" s="186">
        <f>G2895</f>
        <v>163.52496000000002</v>
      </c>
      <c r="G2875" s="83" t="s">
        <v>167</v>
      </c>
      <c r="I2875" s="481"/>
      <c r="J2875" s="272"/>
      <c r="K2875" s="272"/>
    </row>
    <row r="2876" spans="1:11">
      <c r="A2876" s="818" t="s">
        <v>1902</v>
      </c>
      <c r="B2876" s="819"/>
      <c r="C2876" s="819"/>
      <c r="D2876" s="819"/>
      <c r="E2876" s="819"/>
      <c r="F2876" s="819"/>
      <c r="G2876" s="820"/>
    </row>
    <row r="2877" spans="1:11">
      <c r="A2877" s="84" t="s">
        <v>1903</v>
      </c>
      <c r="B2877" s="84" t="s">
        <v>131</v>
      </c>
      <c r="C2877" s="160" t="s">
        <v>1904</v>
      </c>
      <c r="D2877" s="84" t="s">
        <v>167</v>
      </c>
      <c r="E2877" s="85" t="s">
        <v>1905</v>
      </c>
      <c r="F2877" s="86" t="s">
        <v>1906</v>
      </c>
      <c r="G2877" s="86" t="s">
        <v>1907</v>
      </c>
    </row>
    <row r="2878" spans="1:11" ht="24">
      <c r="A2878" s="87" t="s">
        <v>2</v>
      </c>
      <c r="B2878" s="87">
        <v>1790</v>
      </c>
      <c r="C2878" s="278" t="s">
        <v>2075</v>
      </c>
      <c r="D2878" s="89" t="s">
        <v>1930</v>
      </c>
      <c r="E2878" s="88">
        <v>1</v>
      </c>
      <c r="F2878" s="89">
        <v>132.09</v>
      </c>
      <c r="G2878" s="89">
        <v>132.09</v>
      </c>
    </row>
    <row r="2879" spans="1:11">
      <c r="A2879" s="87" t="s">
        <v>2</v>
      </c>
      <c r="B2879" s="87">
        <v>3148</v>
      </c>
      <c r="C2879" s="278" t="s">
        <v>1956</v>
      </c>
      <c r="D2879" s="89" t="s">
        <v>1930</v>
      </c>
      <c r="E2879" s="88">
        <v>2.4E-2</v>
      </c>
      <c r="F2879" s="89">
        <v>12.76</v>
      </c>
      <c r="G2879" s="89">
        <v>0.30624000000000001</v>
      </c>
    </row>
    <row r="2880" spans="1:11" ht="24">
      <c r="A2880" s="87" t="s">
        <v>2</v>
      </c>
      <c r="B2880" s="87">
        <v>7307</v>
      </c>
      <c r="C2880" s="278" t="s">
        <v>1961</v>
      </c>
      <c r="D2880" s="89" t="s">
        <v>1962</v>
      </c>
      <c r="E2880" s="88">
        <v>6.0000000000000001E-3</v>
      </c>
      <c r="F2880" s="89">
        <v>51.77</v>
      </c>
      <c r="G2880" s="89">
        <v>0.31062000000000001</v>
      </c>
    </row>
    <row r="2881" spans="1:7">
      <c r="A2881" s="832" t="s">
        <v>1908</v>
      </c>
      <c r="B2881" s="833"/>
      <c r="C2881" s="833"/>
      <c r="D2881" s="833"/>
      <c r="E2881" s="833"/>
      <c r="F2881" s="834"/>
      <c r="G2881" s="90">
        <v>132.70686000000001</v>
      </c>
    </row>
    <row r="2882" spans="1:7">
      <c r="A2882" s="91"/>
      <c r="B2882" s="92"/>
      <c r="C2882" s="161"/>
      <c r="D2882" s="93"/>
      <c r="E2882" s="94"/>
      <c r="F2882" s="95"/>
      <c r="G2882" s="96"/>
    </row>
    <row r="2883" spans="1:7">
      <c r="A2883" s="835" t="s">
        <v>1909</v>
      </c>
      <c r="B2883" s="836"/>
      <c r="C2883" s="836"/>
      <c r="D2883" s="836"/>
      <c r="E2883" s="836"/>
      <c r="F2883" s="836"/>
      <c r="G2883" s="837"/>
    </row>
    <row r="2884" spans="1:7">
      <c r="A2884" s="84" t="s">
        <v>1903</v>
      </c>
      <c r="B2884" s="84" t="s">
        <v>131</v>
      </c>
      <c r="C2884" s="160" t="s">
        <v>1904</v>
      </c>
      <c r="D2884" s="84" t="s">
        <v>167</v>
      </c>
      <c r="E2884" s="85" t="s">
        <v>1905</v>
      </c>
      <c r="F2884" s="86" t="s">
        <v>1906</v>
      </c>
      <c r="G2884" s="86" t="s">
        <v>1907</v>
      </c>
    </row>
    <row r="2885" spans="1:7" ht="24">
      <c r="A2885" s="87" t="s">
        <v>2</v>
      </c>
      <c r="B2885" s="87">
        <v>88248</v>
      </c>
      <c r="C2885" s="278" t="s">
        <v>1947</v>
      </c>
      <c r="D2885" s="89" t="s">
        <v>137</v>
      </c>
      <c r="E2885" s="88">
        <v>0.64500000000000002</v>
      </c>
      <c r="F2885" s="89">
        <v>21.45</v>
      </c>
      <c r="G2885" s="89">
        <v>13.83525</v>
      </c>
    </row>
    <row r="2886" spans="1:7" ht="24">
      <c r="A2886" s="87" t="s">
        <v>2</v>
      </c>
      <c r="B2886" s="87">
        <v>88267</v>
      </c>
      <c r="C2886" s="278" t="s">
        <v>1949</v>
      </c>
      <c r="D2886" s="89" t="s">
        <v>137</v>
      </c>
      <c r="E2886" s="88">
        <v>0.64500000000000002</v>
      </c>
      <c r="F2886" s="89">
        <v>26.33</v>
      </c>
      <c r="G2886" s="89">
        <v>16.982849999999999</v>
      </c>
    </row>
    <row r="2887" spans="1:7">
      <c r="A2887" s="832" t="s">
        <v>1908</v>
      </c>
      <c r="B2887" s="833"/>
      <c r="C2887" s="833"/>
      <c r="D2887" s="833"/>
      <c r="E2887" s="833"/>
      <c r="F2887" s="834"/>
      <c r="G2887" s="90">
        <f>SUM(G2885:G2886)</f>
        <v>30.818100000000001</v>
      </c>
    </row>
    <row r="2888" spans="1:7">
      <c r="A2888" s="91"/>
      <c r="B2888" s="92"/>
      <c r="C2888" s="162"/>
      <c r="D2888" s="92"/>
      <c r="E2888" s="97"/>
      <c r="F2888" s="98"/>
      <c r="G2888" s="96"/>
    </row>
    <row r="2889" spans="1:7">
      <c r="A2889" s="835" t="s">
        <v>1912</v>
      </c>
      <c r="B2889" s="836"/>
      <c r="C2889" s="836"/>
      <c r="D2889" s="836"/>
      <c r="E2889" s="836"/>
      <c r="F2889" s="836"/>
      <c r="G2889" s="837"/>
    </row>
    <row r="2890" spans="1:7">
      <c r="A2890" s="84" t="s">
        <v>1903</v>
      </c>
      <c r="B2890" s="84" t="s">
        <v>131</v>
      </c>
      <c r="C2890" s="160" t="s">
        <v>1904</v>
      </c>
      <c r="D2890" s="84" t="s">
        <v>167</v>
      </c>
      <c r="E2890" s="85" t="s">
        <v>1905</v>
      </c>
      <c r="F2890" s="86" t="s">
        <v>1906</v>
      </c>
      <c r="G2890" s="86" t="s">
        <v>1907</v>
      </c>
    </row>
    <row r="2891" spans="1:7">
      <c r="A2891" s="87"/>
      <c r="B2891" s="87"/>
      <c r="C2891" s="278" t="s">
        <v>34</v>
      </c>
      <c r="D2891" s="89" t="s">
        <v>34</v>
      </c>
      <c r="E2891" s="88"/>
      <c r="F2891" s="89" t="s">
        <v>34</v>
      </c>
      <c r="G2891" s="89" t="s">
        <v>34</v>
      </c>
    </row>
    <row r="2892" spans="1:7">
      <c r="A2892" s="87"/>
      <c r="B2892" s="87"/>
      <c r="C2892" s="278" t="s">
        <v>34</v>
      </c>
      <c r="D2892" s="89" t="s">
        <v>34</v>
      </c>
      <c r="E2892" s="88"/>
      <c r="F2892" s="89" t="s">
        <v>34</v>
      </c>
      <c r="G2892" s="89" t="s">
        <v>34</v>
      </c>
    </row>
    <row r="2893" spans="1:7">
      <c r="A2893" s="832" t="s">
        <v>1908</v>
      </c>
      <c r="B2893" s="833" t="s">
        <v>1908</v>
      </c>
      <c r="C2893" s="833"/>
      <c r="D2893" s="833"/>
      <c r="E2893" s="833"/>
      <c r="F2893" s="834"/>
      <c r="G2893" s="90" t="s">
        <v>34</v>
      </c>
    </row>
    <row r="2894" spans="1:7" ht="13.5" thickBot="1">
      <c r="A2894" s="91"/>
      <c r="B2894" s="92"/>
      <c r="C2894" s="163"/>
      <c r="D2894" s="99"/>
      <c r="E2894" s="100"/>
      <c r="F2894" s="101"/>
      <c r="G2894" s="102"/>
    </row>
    <row r="2895" spans="1:7" ht="13.5" thickBot="1">
      <c r="A2895" s="838" t="s">
        <v>1259</v>
      </c>
      <c r="B2895" s="839"/>
      <c r="C2895" s="839"/>
      <c r="D2895" s="839"/>
      <c r="E2895" s="839"/>
      <c r="F2895" s="840"/>
      <c r="G2895" s="103">
        <f>G2887+G2881</f>
        <v>163.52496000000002</v>
      </c>
    </row>
    <row r="2898" spans="1:11">
      <c r="A2898" s="237" t="s">
        <v>131</v>
      </c>
      <c r="B2898" s="190" t="s">
        <v>27</v>
      </c>
      <c r="C2898" s="841" t="s">
        <v>1281</v>
      </c>
      <c r="D2898" s="841"/>
      <c r="E2898" s="841"/>
      <c r="F2898" s="841"/>
      <c r="G2898" s="81" t="s">
        <v>127</v>
      </c>
      <c r="I2898" s="480" t="s">
        <v>1901</v>
      </c>
      <c r="J2898" s="80"/>
      <c r="K2898" s="80"/>
    </row>
    <row r="2899" spans="1:11" ht="50.1" customHeight="1">
      <c r="A2899" s="179" t="s">
        <v>698</v>
      </c>
      <c r="B2899" s="82"/>
      <c r="C2899" s="830" t="s">
        <v>699</v>
      </c>
      <c r="D2899" s="831"/>
      <c r="E2899" s="831"/>
      <c r="F2899" s="186">
        <f>G2919</f>
        <v>102.88621999999999</v>
      </c>
      <c r="G2899" s="83" t="s">
        <v>167</v>
      </c>
      <c r="I2899" s="481"/>
      <c r="J2899" s="272"/>
      <c r="K2899" s="272"/>
    </row>
    <row r="2900" spans="1:11">
      <c r="A2900" s="818" t="s">
        <v>1902</v>
      </c>
      <c r="B2900" s="819"/>
      <c r="C2900" s="819"/>
      <c r="D2900" s="819"/>
      <c r="E2900" s="819"/>
      <c r="F2900" s="819"/>
      <c r="G2900" s="820"/>
    </row>
    <row r="2901" spans="1:11">
      <c r="A2901" s="84" t="s">
        <v>1903</v>
      </c>
      <c r="B2901" s="84" t="s">
        <v>131</v>
      </c>
      <c r="C2901" s="160" t="s">
        <v>1904</v>
      </c>
      <c r="D2901" s="84" t="s">
        <v>167</v>
      </c>
      <c r="E2901" s="85" t="s">
        <v>1905</v>
      </c>
      <c r="F2901" s="86" t="s">
        <v>1906</v>
      </c>
      <c r="G2901" s="86" t="s">
        <v>1907</v>
      </c>
    </row>
    <row r="2902" spans="1:11" ht="24">
      <c r="A2902" s="87" t="s">
        <v>2</v>
      </c>
      <c r="B2902" s="87">
        <v>1789</v>
      </c>
      <c r="C2902" s="278" t="s">
        <v>2076</v>
      </c>
      <c r="D2902" s="89" t="s">
        <v>1930</v>
      </c>
      <c r="E2902" s="88">
        <v>1</v>
      </c>
      <c r="F2902" s="89">
        <v>79.31</v>
      </c>
      <c r="G2902" s="89">
        <v>79.31</v>
      </c>
    </row>
    <row r="2903" spans="1:11">
      <c r="A2903" s="87" t="s">
        <v>2</v>
      </c>
      <c r="B2903" s="87">
        <v>3148</v>
      </c>
      <c r="C2903" s="278" t="s">
        <v>1956</v>
      </c>
      <c r="D2903" s="89" t="s">
        <v>1930</v>
      </c>
      <c r="E2903" s="88">
        <v>1.8000000000000002E-2</v>
      </c>
      <c r="F2903" s="89">
        <v>12.76</v>
      </c>
      <c r="G2903" s="89">
        <v>0.22968000000000002</v>
      </c>
    </row>
    <row r="2904" spans="1:11" ht="24">
      <c r="A2904" s="87" t="s">
        <v>2</v>
      </c>
      <c r="B2904" s="87">
        <v>7307</v>
      </c>
      <c r="C2904" s="278" t="s">
        <v>1961</v>
      </c>
      <c r="D2904" s="89" t="s">
        <v>1962</v>
      </c>
      <c r="E2904" s="88">
        <v>4.5000000000000005E-3</v>
      </c>
      <c r="F2904" s="89">
        <v>51.77</v>
      </c>
      <c r="G2904" s="89">
        <v>0.23296500000000003</v>
      </c>
    </row>
    <row r="2905" spans="1:11">
      <c r="A2905" s="832" t="s">
        <v>1908</v>
      </c>
      <c r="B2905" s="833"/>
      <c r="C2905" s="833"/>
      <c r="D2905" s="833"/>
      <c r="E2905" s="833"/>
      <c r="F2905" s="834"/>
      <c r="G2905" s="90">
        <v>79.772644999999997</v>
      </c>
    </row>
    <row r="2906" spans="1:11">
      <c r="A2906" s="91"/>
      <c r="B2906" s="92"/>
      <c r="C2906" s="161"/>
      <c r="D2906" s="93"/>
      <c r="E2906" s="94"/>
      <c r="F2906" s="95"/>
      <c r="G2906" s="96"/>
    </row>
    <row r="2907" spans="1:11">
      <c r="A2907" s="835" t="s">
        <v>1909</v>
      </c>
      <c r="B2907" s="836"/>
      <c r="C2907" s="836"/>
      <c r="D2907" s="836"/>
      <c r="E2907" s="836"/>
      <c r="F2907" s="836"/>
      <c r="G2907" s="837"/>
    </row>
    <row r="2908" spans="1:11">
      <c r="A2908" s="84" t="s">
        <v>1903</v>
      </c>
      <c r="B2908" s="84" t="s">
        <v>131</v>
      </c>
      <c r="C2908" s="160" t="s">
        <v>1904</v>
      </c>
      <c r="D2908" s="84" t="s">
        <v>167</v>
      </c>
      <c r="E2908" s="85" t="s">
        <v>1905</v>
      </c>
      <c r="F2908" s="86" t="s">
        <v>1906</v>
      </c>
      <c r="G2908" s="86" t="s">
        <v>1907</v>
      </c>
    </row>
    <row r="2909" spans="1:11" ht="24">
      <c r="A2909" s="87" t="s">
        <v>2</v>
      </c>
      <c r="B2909" s="87">
        <v>88248</v>
      </c>
      <c r="C2909" s="278" t="s">
        <v>1947</v>
      </c>
      <c r="D2909" s="89" t="s">
        <v>137</v>
      </c>
      <c r="E2909" s="88">
        <v>0.48375000000000001</v>
      </c>
      <c r="F2909" s="89">
        <v>21.45</v>
      </c>
      <c r="G2909" s="89">
        <v>10.3764375</v>
      </c>
    </row>
    <row r="2910" spans="1:11" ht="24">
      <c r="A2910" s="87" t="s">
        <v>2</v>
      </c>
      <c r="B2910" s="87">
        <v>88267</v>
      </c>
      <c r="C2910" s="278" t="s">
        <v>1949</v>
      </c>
      <c r="D2910" s="89" t="s">
        <v>137</v>
      </c>
      <c r="E2910" s="88">
        <v>0.48375000000000001</v>
      </c>
      <c r="F2910" s="89">
        <v>26.33</v>
      </c>
      <c r="G2910" s="89">
        <v>12.737137499999999</v>
      </c>
    </row>
    <row r="2911" spans="1:11">
      <c r="A2911" s="832" t="s">
        <v>1908</v>
      </c>
      <c r="B2911" s="833"/>
      <c r="C2911" s="833"/>
      <c r="D2911" s="833"/>
      <c r="E2911" s="833"/>
      <c r="F2911" s="834"/>
      <c r="G2911" s="90">
        <f>SUM(G2909:G2910)</f>
        <v>23.113574999999997</v>
      </c>
    </row>
    <row r="2912" spans="1:11">
      <c r="A2912" s="91"/>
      <c r="B2912" s="92"/>
      <c r="C2912" s="162"/>
      <c r="D2912" s="92"/>
      <c r="E2912" s="97"/>
      <c r="F2912" s="98"/>
      <c r="G2912" s="96"/>
    </row>
    <row r="2913" spans="1:11">
      <c r="A2913" s="835" t="s">
        <v>1912</v>
      </c>
      <c r="B2913" s="836"/>
      <c r="C2913" s="836"/>
      <c r="D2913" s="836"/>
      <c r="E2913" s="836"/>
      <c r="F2913" s="836"/>
      <c r="G2913" s="837"/>
    </row>
    <row r="2914" spans="1:11">
      <c r="A2914" s="84" t="s">
        <v>1903</v>
      </c>
      <c r="B2914" s="84" t="s">
        <v>131</v>
      </c>
      <c r="C2914" s="160" t="s">
        <v>1904</v>
      </c>
      <c r="D2914" s="84" t="s">
        <v>167</v>
      </c>
      <c r="E2914" s="85" t="s">
        <v>1905</v>
      </c>
      <c r="F2914" s="86" t="s">
        <v>1906</v>
      </c>
      <c r="G2914" s="86" t="s">
        <v>1907</v>
      </c>
    </row>
    <row r="2915" spans="1:11">
      <c r="A2915" s="87"/>
      <c r="B2915" s="87"/>
      <c r="C2915" s="278" t="s">
        <v>34</v>
      </c>
      <c r="D2915" s="89" t="s">
        <v>34</v>
      </c>
      <c r="E2915" s="88"/>
      <c r="F2915" s="89" t="s">
        <v>34</v>
      </c>
      <c r="G2915" s="89" t="s">
        <v>34</v>
      </c>
    </row>
    <row r="2916" spans="1:11">
      <c r="A2916" s="87"/>
      <c r="B2916" s="87"/>
      <c r="C2916" s="278" t="s">
        <v>34</v>
      </c>
      <c r="D2916" s="89" t="s">
        <v>34</v>
      </c>
      <c r="E2916" s="88"/>
      <c r="F2916" s="89" t="s">
        <v>34</v>
      </c>
      <c r="G2916" s="89" t="s">
        <v>34</v>
      </c>
    </row>
    <row r="2917" spans="1:11">
      <c r="A2917" s="832" t="s">
        <v>1908</v>
      </c>
      <c r="B2917" s="833" t="s">
        <v>1908</v>
      </c>
      <c r="C2917" s="833"/>
      <c r="D2917" s="833"/>
      <c r="E2917" s="833"/>
      <c r="F2917" s="834"/>
      <c r="G2917" s="90" t="s">
        <v>34</v>
      </c>
    </row>
    <row r="2918" spans="1:11" ht="13.5" thickBot="1">
      <c r="A2918" s="91"/>
      <c r="B2918" s="92"/>
      <c r="C2918" s="163"/>
      <c r="D2918" s="99"/>
      <c r="E2918" s="100"/>
      <c r="F2918" s="101"/>
      <c r="G2918" s="102"/>
    </row>
    <row r="2919" spans="1:11" ht="13.5" thickBot="1">
      <c r="A2919" s="838" t="s">
        <v>1259</v>
      </c>
      <c r="B2919" s="839"/>
      <c r="C2919" s="839"/>
      <c r="D2919" s="839"/>
      <c r="E2919" s="839"/>
      <c r="F2919" s="840"/>
      <c r="G2919" s="103">
        <f>G2911+G2905</f>
        <v>102.88621999999999</v>
      </c>
    </row>
    <row r="2922" spans="1:11">
      <c r="A2922" s="237" t="s">
        <v>131</v>
      </c>
      <c r="B2922" s="190" t="s">
        <v>27</v>
      </c>
      <c r="C2922" s="841" t="s">
        <v>1281</v>
      </c>
      <c r="D2922" s="841"/>
      <c r="E2922" s="841"/>
      <c r="F2922" s="841"/>
      <c r="G2922" s="81" t="s">
        <v>127</v>
      </c>
      <c r="I2922" s="480" t="s">
        <v>1901</v>
      </c>
      <c r="J2922" s="80"/>
      <c r="K2922" s="80"/>
    </row>
    <row r="2923" spans="1:11" ht="50.1" customHeight="1">
      <c r="A2923" s="179" t="s">
        <v>701</v>
      </c>
      <c r="B2923" s="82"/>
      <c r="C2923" s="830" t="s">
        <v>702</v>
      </c>
      <c r="D2923" s="831"/>
      <c r="E2923" s="831"/>
      <c r="F2923" s="186">
        <f>G2943</f>
        <v>84.012723999999992</v>
      </c>
      <c r="G2923" s="83" t="s">
        <v>167</v>
      </c>
      <c r="I2923" s="481"/>
      <c r="J2923" s="272"/>
      <c r="K2923" s="272"/>
    </row>
    <row r="2924" spans="1:11">
      <c r="A2924" s="818" t="s">
        <v>1902</v>
      </c>
      <c r="B2924" s="819"/>
      <c r="C2924" s="819"/>
      <c r="D2924" s="819"/>
      <c r="E2924" s="819"/>
      <c r="F2924" s="819"/>
      <c r="G2924" s="820"/>
    </row>
    <row r="2925" spans="1:11">
      <c r="A2925" s="84" t="s">
        <v>1903</v>
      </c>
      <c r="B2925" s="84" t="s">
        <v>131</v>
      </c>
      <c r="C2925" s="160" t="s">
        <v>1904</v>
      </c>
      <c r="D2925" s="84" t="s">
        <v>167</v>
      </c>
      <c r="E2925" s="85" t="s">
        <v>1905</v>
      </c>
      <c r="F2925" s="86" t="s">
        <v>1906</v>
      </c>
      <c r="G2925" s="86" t="s">
        <v>1907</v>
      </c>
    </row>
    <row r="2926" spans="1:11" ht="24">
      <c r="A2926" s="87" t="s">
        <v>2</v>
      </c>
      <c r="B2926" s="87">
        <v>1788</v>
      </c>
      <c r="C2926" s="278" t="s">
        <v>2077</v>
      </c>
      <c r="D2926" s="89" t="s">
        <v>1930</v>
      </c>
      <c r="E2926" s="88">
        <v>1</v>
      </c>
      <c r="F2926" s="89">
        <v>63.58</v>
      </c>
      <c r="G2926" s="89">
        <v>63.58</v>
      </c>
    </row>
    <row r="2927" spans="1:11">
      <c r="A2927" s="87" t="s">
        <v>2</v>
      </c>
      <c r="B2927" s="87">
        <v>3148</v>
      </c>
      <c r="C2927" s="278" t="s">
        <v>1956</v>
      </c>
      <c r="D2927" s="89" t="s">
        <v>1930</v>
      </c>
      <c r="E2927" s="88">
        <v>1.5600000000000001E-2</v>
      </c>
      <c r="F2927" s="89">
        <v>12.76</v>
      </c>
      <c r="G2927" s="89">
        <v>0.19905600000000001</v>
      </c>
    </row>
    <row r="2928" spans="1:11" ht="24">
      <c r="A2928" s="87" t="s">
        <v>2</v>
      </c>
      <c r="B2928" s="87">
        <v>7307</v>
      </c>
      <c r="C2928" s="278" t="s">
        <v>1961</v>
      </c>
      <c r="D2928" s="89" t="s">
        <v>1962</v>
      </c>
      <c r="E2928" s="88">
        <v>3.9000000000000003E-3</v>
      </c>
      <c r="F2928" s="89">
        <v>51.77</v>
      </c>
      <c r="G2928" s="89">
        <v>0.20190300000000003</v>
      </c>
    </row>
    <row r="2929" spans="1:7">
      <c r="A2929" s="832" t="s">
        <v>1908</v>
      </c>
      <c r="B2929" s="833"/>
      <c r="C2929" s="833"/>
      <c r="D2929" s="833"/>
      <c r="E2929" s="833"/>
      <c r="F2929" s="834"/>
      <c r="G2929" s="90">
        <v>63.980958999999999</v>
      </c>
    </row>
    <row r="2930" spans="1:7">
      <c r="A2930" s="91"/>
      <c r="B2930" s="92"/>
      <c r="C2930" s="161"/>
      <c r="D2930" s="93"/>
      <c r="E2930" s="94"/>
      <c r="F2930" s="95"/>
      <c r="G2930" s="96"/>
    </row>
    <row r="2931" spans="1:7">
      <c r="A2931" s="835" t="s">
        <v>1909</v>
      </c>
      <c r="B2931" s="836"/>
      <c r="C2931" s="836"/>
      <c r="D2931" s="836"/>
      <c r="E2931" s="836"/>
      <c r="F2931" s="836"/>
      <c r="G2931" s="837"/>
    </row>
    <row r="2932" spans="1:7">
      <c r="A2932" s="84" t="s">
        <v>1903</v>
      </c>
      <c r="B2932" s="84" t="s">
        <v>131</v>
      </c>
      <c r="C2932" s="160" t="s">
        <v>1904</v>
      </c>
      <c r="D2932" s="84" t="s">
        <v>167</v>
      </c>
      <c r="E2932" s="85" t="s">
        <v>1905</v>
      </c>
      <c r="F2932" s="86" t="s">
        <v>1906</v>
      </c>
      <c r="G2932" s="86" t="s">
        <v>1907</v>
      </c>
    </row>
    <row r="2933" spans="1:7" ht="24">
      <c r="A2933" s="87" t="s">
        <v>2</v>
      </c>
      <c r="B2933" s="87">
        <v>88248</v>
      </c>
      <c r="C2933" s="278" t="s">
        <v>1947</v>
      </c>
      <c r="D2933" s="89" t="s">
        <v>137</v>
      </c>
      <c r="E2933" s="88">
        <v>0.41925000000000001</v>
      </c>
      <c r="F2933" s="89">
        <v>21.45</v>
      </c>
      <c r="G2933" s="89">
        <v>8.9929124999999992</v>
      </c>
    </row>
    <row r="2934" spans="1:7" ht="24">
      <c r="A2934" s="87" t="s">
        <v>2</v>
      </c>
      <c r="B2934" s="87">
        <v>88267</v>
      </c>
      <c r="C2934" s="278" t="s">
        <v>1949</v>
      </c>
      <c r="D2934" s="89" t="s">
        <v>137</v>
      </c>
      <c r="E2934" s="88">
        <v>0.41925000000000001</v>
      </c>
      <c r="F2934" s="89">
        <v>26.33</v>
      </c>
      <c r="G2934" s="89">
        <v>11.038852499999999</v>
      </c>
    </row>
    <row r="2935" spans="1:7">
      <c r="A2935" s="832" t="s">
        <v>1908</v>
      </c>
      <c r="B2935" s="833"/>
      <c r="C2935" s="833"/>
      <c r="D2935" s="833"/>
      <c r="E2935" s="833"/>
      <c r="F2935" s="834"/>
      <c r="G2935" s="90">
        <f>SUM(G2933:G2934)</f>
        <v>20.031765</v>
      </c>
    </row>
    <row r="2936" spans="1:7">
      <c r="A2936" s="91"/>
      <c r="B2936" s="92"/>
      <c r="C2936" s="162"/>
      <c r="D2936" s="92"/>
      <c r="E2936" s="97"/>
      <c r="F2936" s="98"/>
      <c r="G2936" s="96"/>
    </row>
    <row r="2937" spans="1:7">
      <c r="A2937" s="835" t="s">
        <v>1912</v>
      </c>
      <c r="B2937" s="836"/>
      <c r="C2937" s="836"/>
      <c r="D2937" s="836"/>
      <c r="E2937" s="836"/>
      <c r="F2937" s="836"/>
      <c r="G2937" s="837"/>
    </row>
    <row r="2938" spans="1:7">
      <c r="A2938" s="84" t="s">
        <v>1903</v>
      </c>
      <c r="B2938" s="84" t="s">
        <v>131</v>
      </c>
      <c r="C2938" s="160" t="s">
        <v>1904</v>
      </c>
      <c r="D2938" s="84" t="s">
        <v>167</v>
      </c>
      <c r="E2938" s="85" t="s">
        <v>1905</v>
      </c>
      <c r="F2938" s="86" t="s">
        <v>1906</v>
      </c>
      <c r="G2938" s="86" t="s">
        <v>1907</v>
      </c>
    </row>
    <row r="2939" spans="1:7">
      <c r="A2939" s="87"/>
      <c r="B2939" s="87"/>
      <c r="C2939" s="278" t="s">
        <v>34</v>
      </c>
      <c r="D2939" s="89" t="s">
        <v>34</v>
      </c>
      <c r="E2939" s="88"/>
      <c r="F2939" s="89" t="s">
        <v>34</v>
      </c>
      <c r="G2939" s="89" t="s">
        <v>34</v>
      </c>
    </row>
    <row r="2940" spans="1:7">
      <c r="A2940" s="87"/>
      <c r="B2940" s="87"/>
      <c r="C2940" s="278" t="s">
        <v>34</v>
      </c>
      <c r="D2940" s="89" t="s">
        <v>34</v>
      </c>
      <c r="E2940" s="88"/>
      <c r="F2940" s="89" t="s">
        <v>34</v>
      </c>
      <c r="G2940" s="89" t="s">
        <v>34</v>
      </c>
    </row>
    <row r="2941" spans="1:7">
      <c r="A2941" s="832" t="s">
        <v>1908</v>
      </c>
      <c r="B2941" s="833" t="s">
        <v>1908</v>
      </c>
      <c r="C2941" s="833"/>
      <c r="D2941" s="833"/>
      <c r="E2941" s="833"/>
      <c r="F2941" s="834"/>
      <c r="G2941" s="90" t="s">
        <v>34</v>
      </c>
    </row>
    <row r="2942" spans="1:7" ht="13.5" thickBot="1">
      <c r="A2942" s="91"/>
      <c r="B2942" s="92"/>
      <c r="C2942" s="163"/>
      <c r="D2942" s="99"/>
      <c r="E2942" s="100"/>
      <c r="F2942" s="101"/>
      <c r="G2942" s="102"/>
    </row>
    <row r="2943" spans="1:7" ht="13.5" thickBot="1">
      <c r="A2943" s="838" t="s">
        <v>1259</v>
      </c>
      <c r="B2943" s="839"/>
      <c r="C2943" s="839"/>
      <c r="D2943" s="839"/>
      <c r="E2943" s="839"/>
      <c r="F2943" s="840"/>
      <c r="G2943" s="103">
        <f>G2935+G2929</f>
        <v>84.012723999999992</v>
      </c>
    </row>
    <row r="2946" spans="1:11">
      <c r="A2946" s="237" t="s">
        <v>131</v>
      </c>
      <c r="B2946" s="190" t="s">
        <v>27</v>
      </c>
      <c r="C2946" s="841" t="s">
        <v>1281</v>
      </c>
      <c r="D2946" s="841"/>
      <c r="E2946" s="841"/>
      <c r="F2946" s="841"/>
      <c r="G2946" s="81" t="s">
        <v>127</v>
      </c>
      <c r="I2946" s="480" t="s">
        <v>1901</v>
      </c>
      <c r="J2946" s="80"/>
      <c r="K2946" s="80"/>
    </row>
    <row r="2947" spans="1:11" ht="50.1" customHeight="1">
      <c r="A2947" s="179" t="s">
        <v>704</v>
      </c>
      <c r="B2947" s="82"/>
      <c r="C2947" s="830" t="s">
        <v>705</v>
      </c>
      <c r="D2947" s="831"/>
      <c r="E2947" s="831"/>
      <c r="F2947" s="186">
        <f>G2967</f>
        <v>164.21496000000002</v>
      </c>
      <c r="G2947" s="83" t="s">
        <v>167</v>
      </c>
      <c r="I2947" s="481"/>
      <c r="J2947" s="272"/>
      <c r="K2947" s="272"/>
    </row>
    <row r="2948" spans="1:11">
      <c r="A2948" s="818" t="s">
        <v>1902</v>
      </c>
      <c r="B2948" s="819"/>
      <c r="C2948" s="819"/>
      <c r="D2948" s="819"/>
      <c r="E2948" s="819"/>
      <c r="F2948" s="819"/>
      <c r="G2948" s="820"/>
    </row>
    <row r="2949" spans="1:11">
      <c r="A2949" s="84" t="s">
        <v>1903</v>
      </c>
      <c r="B2949" s="84" t="s">
        <v>131</v>
      </c>
      <c r="C2949" s="160" t="s">
        <v>1904</v>
      </c>
      <c r="D2949" s="84" t="s">
        <v>167</v>
      </c>
      <c r="E2949" s="85" t="s">
        <v>1905</v>
      </c>
      <c r="F2949" s="86" t="s">
        <v>1906</v>
      </c>
      <c r="G2949" s="86" t="s">
        <v>1907</v>
      </c>
    </row>
    <row r="2950" spans="1:11" ht="24">
      <c r="A2950" s="87" t="s">
        <v>2</v>
      </c>
      <c r="B2950" s="87">
        <v>1818</v>
      </c>
      <c r="C2950" s="278" t="s">
        <v>2078</v>
      </c>
      <c r="D2950" s="89" t="s">
        <v>1930</v>
      </c>
      <c r="E2950" s="88">
        <v>1</v>
      </c>
      <c r="F2950" s="89">
        <v>132.78</v>
      </c>
      <c r="G2950" s="89">
        <v>132.78</v>
      </c>
    </row>
    <row r="2951" spans="1:11">
      <c r="A2951" s="87" t="s">
        <v>2</v>
      </c>
      <c r="B2951" s="87">
        <v>3148</v>
      </c>
      <c r="C2951" s="278" t="s">
        <v>1956</v>
      </c>
      <c r="D2951" s="89" t="s">
        <v>1930</v>
      </c>
      <c r="E2951" s="88">
        <v>2.4E-2</v>
      </c>
      <c r="F2951" s="89">
        <v>12.76</v>
      </c>
      <c r="G2951" s="89">
        <v>0.30624000000000001</v>
      </c>
    </row>
    <row r="2952" spans="1:11" ht="24">
      <c r="A2952" s="87" t="s">
        <v>2</v>
      </c>
      <c r="B2952" s="87">
        <v>7307</v>
      </c>
      <c r="C2952" s="278" t="s">
        <v>1961</v>
      </c>
      <c r="D2952" s="89" t="s">
        <v>1962</v>
      </c>
      <c r="E2952" s="88">
        <v>6.0000000000000001E-3</v>
      </c>
      <c r="F2952" s="89">
        <v>51.77</v>
      </c>
      <c r="G2952" s="89">
        <v>0.31062000000000001</v>
      </c>
    </row>
    <row r="2953" spans="1:11">
      <c r="A2953" s="832" t="s">
        <v>1908</v>
      </c>
      <c r="B2953" s="833"/>
      <c r="C2953" s="833"/>
      <c r="D2953" s="833"/>
      <c r="E2953" s="833"/>
      <c r="F2953" s="834"/>
      <c r="G2953" s="90">
        <v>133.39686</v>
      </c>
    </row>
    <row r="2954" spans="1:11">
      <c r="A2954" s="91"/>
      <c r="B2954" s="92"/>
      <c r="C2954" s="161"/>
      <c r="D2954" s="93"/>
      <c r="E2954" s="94"/>
      <c r="F2954" s="95"/>
      <c r="G2954" s="96"/>
    </row>
    <row r="2955" spans="1:11">
      <c r="A2955" s="835" t="s">
        <v>1909</v>
      </c>
      <c r="B2955" s="836"/>
      <c r="C2955" s="836"/>
      <c r="D2955" s="836"/>
      <c r="E2955" s="836"/>
      <c r="F2955" s="836"/>
      <c r="G2955" s="837"/>
    </row>
    <row r="2956" spans="1:11">
      <c r="A2956" s="84" t="s">
        <v>1903</v>
      </c>
      <c r="B2956" s="84" t="s">
        <v>131</v>
      </c>
      <c r="C2956" s="160" t="s">
        <v>1904</v>
      </c>
      <c r="D2956" s="84" t="s">
        <v>167</v>
      </c>
      <c r="E2956" s="85" t="s">
        <v>1905</v>
      </c>
      <c r="F2956" s="86" t="s">
        <v>1906</v>
      </c>
      <c r="G2956" s="86" t="s">
        <v>1907</v>
      </c>
    </row>
    <row r="2957" spans="1:11" ht="24">
      <c r="A2957" s="87" t="s">
        <v>2</v>
      </c>
      <c r="B2957" s="87">
        <v>88248</v>
      </c>
      <c r="C2957" s="278" t="s">
        <v>1947</v>
      </c>
      <c r="D2957" s="89" t="s">
        <v>137</v>
      </c>
      <c r="E2957" s="88">
        <v>0.64500000000000002</v>
      </c>
      <c r="F2957" s="89">
        <v>21.45</v>
      </c>
      <c r="G2957" s="89">
        <v>13.83525</v>
      </c>
    </row>
    <row r="2958" spans="1:11" ht="24">
      <c r="A2958" s="87" t="s">
        <v>2</v>
      </c>
      <c r="B2958" s="87">
        <v>88267</v>
      </c>
      <c r="C2958" s="278" t="s">
        <v>1949</v>
      </c>
      <c r="D2958" s="89" t="s">
        <v>137</v>
      </c>
      <c r="E2958" s="88">
        <v>0.64500000000000002</v>
      </c>
      <c r="F2958" s="89">
        <v>26.33</v>
      </c>
      <c r="G2958" s="89">
        <v>16.982849999999999</v>
      </c>
    </row>
    <row r="2959" spans="1:11">
      <c r="A2959" s="832" t="s">
        <v>1908</v>
      </c>
      <c r="B2959" s="833"/>
      <c r="C2959" s="833"/>
      <c r="D2959" s="833"/>
      <c r="E2959" s="833"/>
      <c r="F2959" s="834"/>
      <c r="G2959" s="90">
        <f>SUM(G2957:G2958)</f>
        <v>30.818100000000001</v>
      </c>
    </row>
    <row r="2960" spans="1:11">
      <c r="A2960" s="91"/>
      <c r="B2960" s="92"/>
      <c r="C2960" s="162"/>
      <c r="D2960" s="92"/>
      <c r="E2960" s="97"/>
      <c r="F2960" s="98"/>
      <c r="G2960" s="96"/>
    </row>
    <row r="2961" spans="1:11">
      <c r="A2961" s="835" t="s">
        <v>1912</v>
      </c>
      <c r="B2961" s="836"/>
      <c r="C2961" s="836"/>
      <c r="D2961" s="836"/>
      <c r="E2961" s="836"/>
      <c r="F2961" s="836"/>
      <c r="G2961" s="837"/>
    </row>
    <row r="2962" spans="1:11">
      <c r="A2962" s="84" t="s">
        <v>1903</v>
      </c>
      <c r="B2962" s="84" t="s">
        <v>131</v>
      </c>
      <c r="C2962" s="160" t="s">
        <v>1904</v>
      </c>
      <c r="D2962" s="84" t="s">
        <v>167</v>
      </c>
      <c r="E2962" s="85" t="s">
        <v>1905</v>
      </c>
      <c r="F2962" s="86" t="s">
        <v>1906</v>
      </c>
      <c r="G2962" s="86" t="s">
        <v>1907</v>
      </c>
    </row>
    <row r="2963" spans="1:11">
      <c r="A2963" s="87"/>
      <c r="B2963" s="87"/>
      <c r="C2963" s="278" t="s">
        <v>34</v>
      </c>
      <c r="D2963" s="89" t="s">
        <v>34</v>
      </c>
      <c r="E2963" s="88"/>
      <c r="F2963" s="89" t="s">
        <v>34</v>
      </c>
      <c r="G2963" s="89" t="s">
        <v>34</v>
      </c>
    </row>
    <row r="2964" spans="1:11">
      <c r="A2964" s="87"/>
      <c r="B2964" s="87"/>
      <c r="C2964" s="278" t="s">
        <v>34</v>
      </c>
      <c r="D2964" s="89" t="s">
        <v>34</v>
      </c>
      <c r="E2964" s="88"/>
      <c r="F2964" s="89" t="s">
        <v>34</v>
      </c>
      <c r="G2964" s="89" t="s">
        <v>34</v>
      </c>
    </row>
    <row r="2965" spans="1:11">
      <c r="A2965" s="832" t="s">
        <v>1908</v>
      </c>
      <c r="B2965" s="833" t="s">
        <v>1908</v>
      </c>
      <c r="C2965" s="833"/>
      <c r="D2965" s="833"/>
      <c r="E2965" s="833"/>
      <c r="F2965" s="834"/>
      <c r="G2965" s="90" t="s">
        <v>34</v>
      </c>
    </row>
    <row r="2966" spans="1:11" ht="13.5" thickBot="1">
      <c r="A2966" s="91"/>
      <c r="B2966" s="92"/>
      <c r="C2966" s="163"/>
      <c r="D2966" s="99"/>
      <c r="E2966" s="100"/>
      <c r="F2966" s="101"/>
      <c r="G2966" s="102"/>
    </row>
    <row r="2967" spans="1:11" ht="13.5" thickBot="1">
      <c r="A2967" s="838" t="s">
        <v>1259</v>
      </c>
      <c r="B2967" s="839"/>
      <c r="C2967" s="839"/>
      <c r="D2967" s="839"/>
      <c r="E2967" s="839"/>
      <c r="F2967" s="840"/>
      <c r="G2967" s="103">
        <f>G2959+G2953</f>
        <v>164.21496000000002</v>
      </c>
    </row>
    <row r="2970" spans="1:11">
      <c r="A2970" s="237" t="s">
        <v>131</v>
      </c>
      <c r="B2970" s="190" t="s">
        <v>27</v>
      </c>
      <c r="C2970" s="841" t="s">
        <v>1281</v>
      </c>
      <c r="D2970" s="841"/>
      <c r="E2970" s="841"/>
      <c r="F2970" s="841"/>
      <c r="G2970" s="81" t="s">
        <v>127</v>
      </c>
      <c r="I2970" s="480" t="s">
        <v>1901</v>
      </c>
      <c r="J2970" s="80"/>
      <c r="K2970" s="80"/>
    </row>
    <row r="2971" spans="1:11" ht="60.75" customHeight="1">
      <c r="A2971" s="179" t="s">
        <v>715</v>
      </c>
      <c r="B2971" s="82"/>
      <c r="C2971" s="830" t="s">
        <v>716</v>
      </c>
      <c r="D2971" s="831"/>
      <c r="E2971" s="831"/>
      <c r="F2971" s="186">
        <v>5126.0469800000001</v>
      </c>
      <c r="G2971" s="83" t="s">
        <v>163</v>
      </c>
      <c r="I2971" s="481"/>
      <c r="J2971" s="272"/>
      <c r="K2971" s="272"/>
    </row>
    <row r="2972" spans="1:11">
      <c r="A2972" s="818" t="s">
        <v>1902</v>
      </c>
      <c r="B2972" s="819"/>
      <c r="C2972" s="819"/>
      <c r="D2972" s="819"/>
      <c r="E2972" s="819"/>
      <c r="F2972" s="819"/>
      <c r="G2972" s="820"/>
    </row>
    <row r="2973" spans="1:11">
      <c r="A2973" s="84" t="s">
        <v>1903</v>
      </c>
      <c r="B2973" s="84" t="s">
        <v>131</v>
      </c>
      <c r="C2973" s="160" t="s">
        <v>1904</v>
      </c>
      <c r="D2973" s="84" t="s">
        <v>167</v>
      </c>
      <c r="E2973" s="85" t="s">
        <v>1905</v>
      </c>
      <c r="F2973" s="86" t="s">
        <v>1906</v>
      </c>
      <c r="G2973" s="86" t="s">
        <v>1907</v>
      </c>
    </row>
    <row r="2974" spans="1:11" ht="72">
      <c r="A2974" s="87" t="s">
        <v>1917</v>
      </c>
      <c r="B2974" s="87" t="s">
        <v>2079</v>
      </c>
      <c r="C2974" s="278" t="s">
        <v>716</v>
      </c>
      <c r="D2974" s="89" t="s">
        <v>167</v>
      </c>
      <c r="E2974" s="88">
        <v>1</v>
      </c>
      <c r="F2974" s="89">
        <f>'Mapa Cotações'!M112</f>
        <v>4859.51</v>
      </c>
      <c r="G2974" s="89">
        <v>4859.51</v>
      </c>
    </row>
    <row r="2975" spans="1:11">
      <c r="A2975" s="87"/>
      <c r="B2975" s="87"/>
      <c r="C2975" s="278" t="s">
        <v>34</v>
      </c>
      <c r="D2975" s="89" t="s">
        <v>34</v>
      </c>
      <c r="E2975" s="88"/>
      <c r="F2975" s="89" t="s">
        <v>34</v>
      </c>
      <c r="G2975" s="89" t="s">
        <v>34</v>
      </c>
    </row>
    <row r="2976" spans="1:11">
      <c r="A2976" s="832" t="s">
        <v>1908</v>
      </c>
      <c r="B2976" s="833"/>
      <c r="C2976" s="833"/>
      <c r="D2976" s="833"/>
      <c r="E2976" s="833"/>
      <c r="F2976" s="834"/>
      <c r="G2976" s="90">
        <v>4859.51</v>
      </c>
    </row>
    <row r="2977" spans="1:7">
      <c r="A2977" s="91"/>
      <c r="B2977" s="92"/>
      <c r="C2977" s="161"/>
      <c r="D2977" s="93"/>
      <c r="E2977" s="94"/>
      <c r="F2977" s="95"/>
      <c r="G2977" s="96"/>
    </row>
    <row r="2978" spans="1:7">
      <c r="A2978" s="835" t="s">
        <v>1909</v>
      </c>
      <c r="B2978" s="836"/>
      <c r="C2978" s="836"/>
      <c r="D2978" s="836"/>
      <c r="E2978" s="836"/>
      <c r="F2978" s="836"/>
      <c r="G2978" s="837"/>
    </row>
    <row r="2979" spans="1:7">
      <c r="A2979" s="84" t="s">
        <v>1903</v>
      </c>
      <c r="B2979" s="84" t="s">
        <v>131</v>
      </c>
      <c r="C2979" s="160" t="s">
        <v>1904</v>
      </c>
      <c r="D2979" s="84" t="s">
        <v>167</v>
      </c>
      <c r="E2979" s="85" t="s">
        <v>1905</v>
      </c>
      <c r="F2979" s="86" t="s">
        <v>1906</v>
      </c>
      <c r="G2979" s="86" t="s">
        <v>1907</v>
      </c>
    </row>
    <row r="2980" spans="1:7" ht="24">
      <c r="A2980" s="87" t="s">
        <v>2</v>
      </c>
      <c r="B2980" s="87">
        <v>88248</v>
      </c>
      <c r="C2980" s="278" t="s">
        <v>1947</v>
      </c>
      <c r="D2980" s="89" t="s">
        <v>137</v>
      </c>
      <c r="E2980" s="88">
        <v>0.89100000000000001</v>
      </c>
      <c r="F2980" s="89">
        <v>21.45</v>
      </c>
      <c r="G2980" s="89">
        <v>19.11195</v>
      </c>
    </row>
    <row r="2981" spans="1:7" ht="24">
      <c r="A2981" s="87" t="s">
        <v>2</v>
      </c>
      <c r="B2981" s="87">
        <v>88267</v>
      </c>
      <c r="C2981" s="278" t="s">
        <v>1949</v>
      </c>
      <c r="D2981" s="89" t="s">
        <v>137</v>
      </c>
      <c r="E2981" s="88">
        <v>0.89100000000000001</v>
      </c>
      <c r="F2981" s="89">
        <v>26.33</v>
      </c>
      <c r="G2981" s="89">
        <v>23.46003</v>
      </c>
    </row>
    <row r="2982" spans="1:7" ht="24">
      <c r="A2982" s="87" t="s">
        <v>2</v>
      </c>
      <c r="B2982" s="87">
        <v>100308</v>
      </c>
      <c r="C2982" s="278" t="s">
        <v>1936</v>
      </c>
      <c r="D2982" s="89" t="s">
        <v>137</v>
      </c>
      <c r="E2982" s="88">
        <v>4.5</v>
      </c>
      <c r="F2982" s="89">
        <v>28.94</v>
      </c>
      <c r="G2982" s="89">
        <v>130.23000000000002</v>
      </c>
    </row>
    <row r="2983" spans="1:7" ht="24">
      <c r="A2983" s="87" t="s">
        <v>2</v>
      </c>
      <c r="B2983" s="87">
        <v>88250</v>
      </c>
      <c r="C2983" s="278" t="s">
        <v>1937</v>
      </c>
      <c r="D2983" s="89" t="s">
        <v>137</v>
      </c>
      <c r="E2983" s="88">
        <v>4.5</v>
      </c>
      <c r="F2983" s="89">
        <v>20.83</v>
      </c>
      <c r="G2983" s="89">
        <v>93.734999999999985</v>
      </c>
    </row>
    <row r="2984" spans="1:7">
      <c r="A2984" s="832" t="s">
        <v>1908</v>
      </c>
      <c r="B2984" s="833"/>
      <c r="C2984" s="833"/>
      <c r="D2984" s="833"/>
      <c r="E2984" s="833"/>
      <c r="F2984" s="834"/>
      <c r="G2984" s="90">
        <v>266.53697999999997</v>
      </c>
    </row>
    <row r="2985" spans="1:7">
      <c r="A2985" s="91"/>
      <c r="B2985" s="92"/>
      <c r="C2985" s="162"/>
      <c r="D2985" s="92"/>
      <c r="E2985" s="97"/>
      <c r="F2985" s="98"/>
      <c r="G2985" s="96"/>
    </row>
    <row r="2986" spans="1:7">
      <c r="A2986" s="835" t="s">
        <v>1912</v>
      </c>
      <c r="B2986" s="836"/>
      <c r="C2986" s="836"/>
      <c r="D2986" s="836"/>
      <c r="E2986" s="836"/>
      <c r="F2986" s="836"/>
      <c r="G2986" s="837"/>
    </row>
    <row r="2987" spans="1:7">
      <c r="A2987" s="84" t="s">
        <v>1903</v>
      </c>
      <c r="B2987" s="84" t="s">
        <v>131</v>
      </c>
      <c r="C2987" s="160" t="s">
        <v>1904</v>
      </c>
      <c r="D2987" s="84" t="s">
        <v>167</v>
      </c>
      <c r="E2987" s="85" t="s">
        <v>1905</v>
      </c>
      <c r="F2987" s="86" t="s">
        <v>1906</v>
      </c>
      <c r="G2987" s="86" t="s">
        <v>1907</v>
      </c>
    </row>
    <row r="2988" spans="1:7">
      <c r="A2988" s="87"/>
      <c r="B2988" s="87"/>
      <c r="C2988" s="278" t="s">
        <v>34</v>
      </c>
      <c r="D2988" s="89" t="s">
        <v>34</v>
      </c>
      <c r="E2988" s="88"/>
      <c r="F2988" s="89" t="s">
        <v>34</v>
      </c>
      <c r="G2988" s="89" t="s">
        <v>34</v>
      </c>
    </row>
    <row r="2989" spans="1:7">
      <c r="A2989" s="87"/>
      <c r="B2989" s="87"/>
      <c r="C2989" s="278" t="s">
        <v>34</v>
      </c>
      <c r="D2989" s="89" t="s">
        <v>34</v>
      </c>
      <c r="E2989" s="88"/>
      <c r="F2989" s="89" t="s">
        <v>34</v>
      </c>
      <c r="G2989" s="89" t="s">
        <v>34</v>
      </c>
    </row>
    <row r="2990" spans="1:7">
      <c r="A2990" s="832" t="s">
        <v>1908</v>
      </c>
      <c r="B2990" s="833" t="s">
        <v>1908</v>
      </c>
      <c r="C2990" s="833"/>
      <c r="D2990" s="833"/>
      <c r="E2990" s="833"/>
      <c r="F2990" s="834"/>
      <c r="G2990" s="90" t="s">
        <v>34</v>
      </c>
    </row>
    <row r="2991" spans="1:7" ht="13.5" thickBot="1">
      <c r="A2991" s="91"/>
      <c r="B2991" s="92"/>
      <c r="C2991" s="163"/>
      <c r="D2991" s="99"/>
      <c r="E2991" s="100"/>
      <c r="F2991" s="101"/>
      <c r="G2991" s="102"/>
    </row>
    <row r="2992" spans="1:7" ht="13.5" thickBot="1">
      <c r="A2992" s="838" t="s">
        <v>1259</v>
      </c>
      <c r="B2992" s="839"/>
      <c r="C2992" s="839"/>
      <c r="D2992" s="839"/>
      <c r="E2992" s="839"/>
      <c r="F2992" s="840"/>
      <c r="G2992" s="103">
        <v>5126.0469800000001</v>
      </c>
    </row>
    <row r="2995" spans="1:11">
      <c r="A2995" s="237" t="s">
        <v>131</v>
      </c>
      <c r="B2995" s="190" t="s">
        <v>27</v>
      </c>
      <c r="C2995" s="841" t="s">
        <v>1281</v>
      </c>
      <c r="D2995" s="841"/>
      <c r="E2995" s="841"/>
      <c r="F2995" s="841"/>
      <c r="G2995" s="81" t="s">
        <v>127</v>
      </c>
      <c r="I2995" s="480" t="s">
        <v>1901</v>
      </c>
      <c r="J2995" s="80"/>
      <c r="K2995" s="80"/>
    </row>
    <row r="2996" spans="1:11" ht="65.25" customHeight="1">
      <c r="A2996" s="179" t="s">
        <v>718</v>
      </c>
      <c r="B2996" s="82"/>
      <c r="C2996" s="830" t="s">
        <v>719</v>
      </c>
      <c r="D2996" s="831"/>
      <c r="E2996" s="831"/>
      <c r="F2996" s="186">
        <v>3614.5769799999998</v>
      </c>
      <c r="G2996" s="83" t="s">
        <v>163</v>
      </c>
      <c r="I2996" s="481"/>
      <c r="J2996" s="272"/>
      <c r="K2996" s="272"/>
    </row>
    <row r="2997" spans="1:11">
      <c r="A2997" s="818" t="s">
        <v>1902</v>
      </c>
      <c r="B2997" s="819"/>
      <c r="C2997" s="819"/>
      <c r="D2997" s="819"/>
      <c r="E2997" s="819"/>
      <c r="F2997" s="819"/>
      <c r="G2997" s="820"/>
    </row>
    <row r="2998" spans="1:11">
      <c r="A2998" s="84" t="s">
        <v>1903</v>
      </c>
      <c r="B2998" s="84" t="s">
        <v>131</v>
      </c>
      <c r="C2998" s="160" t="s">
        <v>1904</v>
      </c>
      <c r="D2998" s="84" t="s">
        <v>167</v>
      </c>
      <c r="E2998" s="85" t="s">
        <v>1905</v>
      </c>
      <c r="F2998" s="86" t="s">
        <v>1906</v>
      </c>
      <c r="G2998" s="86" t="s">
        <v>1907</v>
      </c>
    </row>
    <row r="2999" spans="1:11" ht="72">
      <c r="A2999" s="87" t="s">
        <v>1917</v>
      </c>
      <c r="B2999" s="87" t="s">
        <v>2080</v>
      </c>
      <c r="C2999" s="278" t="s">
        <v>719</v>
      </c>
      <c r="D2999" s="89" t="s">
        <v>167</v>
      </c>
      <c r="E2999" s="88">
        <v>1</v>
      </c>
      <c r="F2999" s="89">
        <f>'Mapa Cotações'!M113</f>
        <v>3348.04</v>
      </c>
      <c r="G2999" s="89">
        <v>3348.04</v>
      </c>
    </row>
    <row r="3000" spans="1:11">
      <c r="A3000" s="87"/>
      <c r="B3000" s="87"/>
      <c r="C3000" s="278" t="s">
        <v>34</v>
      </c>
      <c r="D3000" s="89" t="s">
        <v>34</v>
      </c>
      <c r="E3000" s="88"/>
      <c r="F3000" s="89" t="str">
        <f>IF(B3000="","",IF($A$8="NÃO DESONERADO",(IF(A3000="SINAPI",VLOOKUP(B3000,#REF!,4,0),IF(A3000="SUDECAP",VLOOKUP(B3000,#REF!,5,0),IF(A3000="SETOP",VLOOKUP(B3000,#REF!,4,0),IF(A3000="COTAÇÃO",VLOOKUP(B3000,'Mapa Cotações'!$A:$N,13,0)))))),(IF(A3000="SINAPI",VLOOKUP(B3000,#REF!,4,0),IF(A3000="SUDECAP",VLOOKUP(B3000,#REF!,5,0),IF(A3000="SETOP",VLOOKUP(B3000,#REF!,4,0),IF(A3000="COTAÇÃO",VLOOKUP(B3000,'Mapa Cotações'!$A:$N,13,0))))))))</f>
        <v/>
      </c>
      <c r="G3000" s="89" t="str">
        <f>IF(D3000="","",E3000*F3000)</f>
        <v/>
      </c>
    </row>
    <row r="3001" spans="1:11">
      <c r="A3001" s="832" t="s">
        <v>1908</v>
      </c>
      <c r="B3001" s="833"/>
      <c r="C3001" s="833"/>
      <c r="D3001" s="833"/>
      <c r="E3001" s="833"/>
      <c r="F3001" s="834"/>
      <c r="G3001" s="90">
        <f>IF(F2999="","",(SUM(G2999:G3000)))</f>
        <v>3348.04</v>
      </c>
    </row>
    <row r="3002" spans="1:11">
      <c r="A3002" s="91"/>
      <c r="B3002" s="92"/>
      <c r="C3002" s="161"/>
      <c r="D3002" s="93"/>
      <c r="E3002" s="94"/>
      <c r="F3002" s="95"/>
      <c r="G3002" s="96"/>
    </row>
    <row r="3003" spans="1:11">
      <c r="A3003" s="835" t="s">
        <v>1909</v>
      </c>
      <c r="B3003" s="836"/>
      <c r="C3003" s="836"/>
      <c r="D3003" s="836"/>
      <c r="E3003" s="836"/>
      <c r="F3003" s="836"/>
      <c r="G3003" s="837"/>
    </row>
    <row r="3004" spans="1:11">
      <c r="A3004" s="84" t="s">
        <v>1903</v>
      </c>
      <c r="B3004" s="84" t="s">
        <v>131</v>
      </c>
      <c r="C3004" s="160" t="s">
        <v>1904</v>
      </c>
      <c r="D3004" s="84" t="s">
        <v>167</v>
      </c>
      <c r="E3004" s="85" t="s">
        <v>1905</v>
      </c>
      <c r="F3004" s="86" t="s">
        <v>1906</v>
      </c>
      <c r="G3004" s="86" t="s">
        <v>1907</v>
      </c>
    </row>
    <row r="3005" spans="1:11" ht="24">
      <c r="A3005" s="87" t="s">
        <v>2</v>
      </c>
      <c r="B3005" s="87">
        <v>88248</v>
      </c>
      <c r="C3005" s="278" t="s">
        <v>1947</v>
      </c>
      <c r="D3005" s="89" t="s">
        <v>137</v>
      </c>
      <c r="E3005" s="88">
        <f>0.1485*6</f>
        <v>0.89100000000000001</v>
      </c>
      <c r="F3005" s="89">
        <v>21.45</v>
      </c>
      <c r="G3005" s="89">
        <f>F3005*E3005</f>
        <v>19.11195</v>
      </c>
    </row>
    <row r="3006" spans="1:11" ht="24">
      <c r="A3006" s="87" t="s">
        <v>2</v>
      </c>
      <c r="B3006" s="87">
        <v>88267</v>
      </c>
      <c r="C3006" s="278" t="s">
        <v>1949</v>
      </c>
      <c r="D3006" s="89" t="s">
        <v>137</v>
      </c>
      <c r="E3006" s="88">
        <f>0.1485*6</f>
        <v>0.89100000000000001</v>
      </c>
      <c r="F3006" s="89">
        <v>26.33</v>
      </c>
      <c r="G3006" s="89">
        <f>F3006*E3006</f>
        <v>23.46003</v>
      </c>
    </row>
    <row r="3007" spans="1:11" ht="24">
      <c r="A3007" s="87" t="s">
        <v>2</v>
      </c>
      <c r="B3007" s="87">
        <v>100308</v>
      </c>
      <c r="C3007" s="278" t="s">
        <v>1936</v>
      </c>
      <c r="D3007" s="89" t="s">
        <v>137</v>
      </c>
      <c r="E3007" s="88">
        <v>4.5</v>
      </c>
      <c r="F3007" s="89">
        <v>28.94</v>
      </c>
      <c r="G3007" s="89">
        <f>F3007*E3007</f>
        <v>130.23000000000002</v>
      </c>
    </row>
    <row r="3008" spans="1:11" ht="24">
      <c r="A3008" s="87" t="s">
        <v>2</v>
      </c>
      <c r="B3008" s="87">
        <v>88250</v>
      </c>
      <c r="C3008" s="278" t="s">
        <v>1937</v>
      </c>
      <c r="D3008" s="89" t="s">
        <v>137</v>
      </c>
      <c r="E3008" s="88">
        <v>4.5</v>
      </c>
      <c r="F3008" s="89">
        <v>20.83</v>
      </c>
      <c r="G3008" s="89">
        <f>F3008*E3008</f>
        <v>93.734999999999985</v>
      </c>
    </row>
    <row r="3009" spans="1:11">
      <c r="A3009" s="832" t="s">
        <v>1908</v>
      </c>
      <c r="B3009" s="833"/>
      <c r="C3009" s="833"/>
      <c r="D3009" s="833"/>
      <c r="E3009" s="833"/>
      <c r="F3009" s="834"/>
      <c r="G3009" s="90">
        <f>SUM(G3005:G3008)</f>
        <v>266.53697999999997</v>
      </c>
    </row>
    <row r="3010" spans="1:11">
      <c r="A3010" s="91"/>
      <c r="B3010" s="92"/>
      <c r="C3010" s="162"/>
      <c r="D3010" s="92"/>
      <c r="E3010" s="97"/>
      <c r="F3010" s="98"/>
      <c r="G3010" s="96"/>
    </row>
    <row r="3011" spans="1:11">
      <c r="A3011" s="835" t="s">
        <v>1912</v>
      </c>
      <c r="B3011" s="836"/>
      <c r="C3011" s="836"/>
      <c r="D3011" s="836"/>
      <c r="E3011" s="836"/>
      <c r="F3011" s="836"/>
      <c r="G3011" s="837"/>
    </row>
    <row r="3012" spans="1:11">
      <c r="A3012" s="84" t="s">
        <v>1903</v>
      </c>
      <c r="B3012" s="84" t="s">
        <v>131</v>
      </c>
      <c r="C3012" s="160" t="s">
        <v>1904</v>
      </c>
      <c r="D3012" s="84" t="s">
        <v>167</v>
      </c>
      <c r="E3012" s="85" t="s">
        <v>1905</v>
      </c>
      <c r="F3012" s="86" t="s">
        <v>1906</v>
      </c>
      <c r="G3012" s="86" t="s">
        <v>1907</v>
      </c>
    </row>
    <row r="3013" spans="1:11">
      <c r="A3013" s="87"/>
      <c r="B3013" s="87"/>
      <c r="C3013" s="278" t="str">
        <f>IF(B3013="","",IF($A$8="NÃO DESONERADO",(IF(A3013="SINAPI",VLOOKUP(B3013,#REF!,2,0),IF(A3013="SUDECAP",VLOOKUP(B3013,#REF!,3,0),IF(A3013="SETOP",VLOOKUP(B3013,#REF!,2,0),IF(A3013="COTAÇÃO",VLOOKUP(B3013,'Mapa Cotações'!$A:$N,2,0)))))),(IF(A3013="SINAPI",VLOOKUP(B3013,#REF!,2,0),IF(A3013="SUDECAP",VLOOKUP(B3013,#REF!,3,0),IF(A3013="SETOP",VLOOKUP(B3013,#REF!,2,0),IF(A3013="COTAÇÃO",VLOOKUP(B3013,'Mapa Cotações'!$A:$N,2,0))))))))</f>
        <v/>
      </c>
      <c r="D3013" s="89" t="str">
        <f>IF(B3013="","",IF($A$8="NÃO DESONERADO",(IF(A3013="SINAPI",VLOOKUP(B3013,#REF!,3,0),IF(A3013="SUDECAP",VLOOKUP(B3013,#REF!,4,0),IF(A3013="SETOP",VLOOKUP(B3013,#REF!,3,0),IF(A3013="COTAÇÃO",VLOOKUP(B3013,'Mapa Cotações'!$A:$N,3,0)))))),(IF(A3013="SINAPI",VLOOKUP(B3013,#REF!,3,0),IF(A3013="SUDECAP",VLOOKUP(B3013,#REF!,4,0),IF(A3013="SETOP",VLOOKUP(B3013,#REF!,3,0),IF(A3013="COTAÇÃO",VLOOKUP(B3013,'Mapa Cotações'!$A:$N,3,0))))))))</f>
        <v/>
      </c>
      <c r="E3013" s="88"/>
      <c r="F3013" s="89" t="str">
        <f>IF(B3013="","",IF($A$8="NÃO DESONERADO",(IF(A3013="SINAPI",VLOOKUP(B3013,#REF!,4,0),IF(A3013="SUDECAP",VLOOKUP(B3013,#REF!,5,0),IF(A3013="SETOP",VLOOKUP(B3013,#REF!,4,0),IF(A3013="COTAÇÃO",VLOOKUP(B3013,'Mapa Cotações'!$A:$N,13,0)))))),(IF(A3013="SINAPI",VLOOKUP(B3013,#REF!,4,0),IF(A3013="SUDECAP",VLOOKUP(B3013,#REF!,5,0),IF(A3013="SETOP",VLOOKUP(B3013,#REF!,4,0),IF(A3013="COTAÇÃO",VLOOKUP(B3013,'Mapa Cotações'!$A:$N,13,0))))))))</f>
        <v/>
      </c>
      <c r="G3013" s="89" t="str">
        <f>IF(D3013="","",E3013*F3013)</f>
        <v/>
      </c>
    </row>
    <row r="3014" spans="1:11">
      <c r="A3014" s="87"/>
      <c r="B3014" s="87"/>
      <c r="C3014" s="278" t="str">
        <f>IF(B3014="","",IF($A$8="NÃO DESONERADO",(IF(A3014="SINAPI",VLOOKUP(B3014,#REF!,2,0),IF(A3014="SUDECAP",VLOOKUP(B3014,#REF!,3,0),IF(A3014="SETOP",VLOOKUP(B3014,#REF!,2,0),IF(A3014="COTAÇÃO",VLOOKUP(B3014,'Mapa Cotações'!$A:$N,2,0)))))),(IF(A3014="SINAPI",VLOOKUP(B3014,#REF!,2,0),IF(A3014="SUDECAP",VLOOKUP(B3014,#REF!,3,0),IF(A3014="SETOP",VLOOKUP(B3014,#REF!,2,0),IF(A3014="COTAÇÃO",VLOOKUP(B3014,'Mapa Cotações'!$A:$N,2,0))))))))</f>
        <v/>
      </c>
      <c r="D3014" s="89" t="str">
        <f>IF(B3014="","",IF($A$8="NÃO DESONERADO",(IF(A3014="SINAPI",VLOOKUP(B3014,#REF!,3,0),IF(A3014="SUDECAP",VLOOKUP(B3014,#REF!,4,0),IF(A3014="SETOP",VLOOKUP(B3014,#REF!,3,0),IF(A3014="COTAÇÃO",VLOOKUP(B3014,'Mapa Cotações'!$A:$N,3,0)))))),(IF(A3014="SINAPI",VLOOKUP(B3014,#REF!,3,0),IF(A3014="SUDECAP",VLOOKUP(B3014,#REF!,4,0),IF(A3014="SETOP",VLOOKUP(B3014,#REF!,3,0),IF(A3014="COTAÇÃO",VLOOKUP(B3014,'Mapa Cotações'!$A:$N,3,0))))))))</f>
        <v/>
      </c>
      <c r="E3014" s="88"/>
      <c r="F3014" s="89" t="str">
        <f>IF(B3014="","",IF($A$8="NÃO DESONERADO",(IF(A3014="SINAPI",VLOOKUP(B3014,#REF!,4,0),IF(A3014="SUDECAP",VLOOKUP(B3014,#REF!,5,0),IF(A3014="SETOP",VLOOKUP(B3014,#REF!,4,0),IF(A3014="COTAÇÃO",VLOOKUP(B3014,'Mapa Cotações'!$A:$N,13,0)))))),(IF(A3014="SINAPI",VLOOKUP(B3014,#REF!,4,0),IF(A3014="SUDECAP",VLOOKUP(B3014,#REF!,5,0),IF(A3014="SETOP",VLOOKUP(B3014,#REF!,4,0),IF(A3014="COTAÇÃO",VLOOKUP(B3014,'Mapa Cotações'!$A:$N,13,0))))))))</f>
        <v/>
      </c>
      <c r="G3014" s="89" t="str">
        <f>IF(D3014="","",E3014*F3014)</f>
        <v/>
      </c>
    </row>
    <row r="3015" spans="1:11">
      <c r="A3015" s="832" t="s">
        <v>1908</v>
      </c>
      <c r="B3015" s="833" t="s">
        <v>1908</v>
      </c>
      <c r="C3015" s="833"/>
      <c r="D3015" s="833"/>
      <c r="E3015" s="833"/>
      <c r="F3015" s="834"/>
      <c r="G3015" s="90" t="str">
        <f>IF(F3013="","",(SUM(G3013:G3014)))</f>
        <v/>
      </c>
    </row>
    <row r="3016" spans="1:11" ht="13.5" thickBot="1">
      <c r="A3016" s="91"/>
      <c r="B3016" s="92"/>
      <c r="C3016" s="163"/>
      <c r="D3016" s="99"/>
      <c r="E3016" s="100"/>
      <c r="F3016" s="101"/>
      <c r="G3016" s="102"/>
    </row>
    <row r="3017" spans="1:11" ht="13.5" thickBot="1">
      <c r="A3017" s="838" t="s">
        <v>1259</v>
      </c>
      <c r="B3017" s="839"/>
      <c r="C3017" s="839"/>
      <c r="D3017" s="839"/>
      <c r="E3017" s="839"/>
      <c r="F3017" s="840"/>
      <c r="G3017" s="103">
        <f>SUM(G3001,G3009,G3015)</f>
        <v>3614.5769799999998</v>
      </c>
    </row>
    <row r="3020" spans="1:11">
      <c r="A3020" s="237" t="s">
        <v>131</v>
      </c>
      <c r="B3020" s="190" t="s">
        <v>27</v>
      </c>
      <c r="C3020" s="841" t="s">
        <v>1281</v>
      </c>
      <c r="D3020" s="841"/>
      <c r="E3020" s="841"/>
      <c r="F3020" s="841"/>
      <c r="G3020" s="81" t="s">
        <v>127</v>
      </c>
      <c r="I3020" s="480" t="s">
        <v>1901</v>
      </c>
      <c r="J3020" s="80"/>
      <c r="K3020" s="80"/>
    </row>
    <row r="3021" spans="1:11" ht="64.5" customHeight="1">
      <c r="A3021" s="179" t="s">
        <v>721</v>
      </c>
      <c r="B3021" s="82"/>
      <c r="C3021" s="830" t="s">
        <v>722</v>
      </c>
      <c r="D3021" s="831"/>
      <c r="E3021" s="831"/>
      <c r="F3021" s="186">
        <f>G3042</f>
        <v>3616.5369799999999</v>
      </c>
      <c r="G3021" s="83" t="s">
        <v>163</v>
      </c>
      <c r="I3021" s="481"/>
      <c r="J3021" s="272"/>
      <c r="K3021" s="272"/>
    </row>
    <row r="3022" spans="1:11">
      <c r="A3022" s="818" t="s">
        <v>1902</v>
      </c>
      <c r="B3022" s="819"/>
      <c r="C3022" s="819"/>
      <c r="D3022" s="819"/>
      <c r="E3022" s="819"/>
      <c r="F3022" s="819"/>
      <c r="G3022" s="820"/>
    </row>
    <row r="3023" spans="1:11">
      <c r="A3023" s="84" t="s">
        <v>1903</v>
      </c>
      <c r="B3023" s="84" t="s">
        <v>131</v>
      </c>
      <c r="C3023" s="160" t="s">
        <v>1904</v>
      </c>
      <c r="D3023" s="84" t="s">
        <v>167</v>
      </c>
      <c r="E3023" s="85" t="s">
        <v>1905</v>
      </c>
      <c r="F3023" s="86" t="s">
        <v>1906</v>
      </c>
      <c r="G3023" s="86" t="s">
        <v>1907</v>
      </c>
    </row>
    <row r="3024" spans="1:11" ht="72">
      <c r="A3024" s="87" t="s">
        <v>1917</v>
      </c>
      <c r="B3024" s="87" t="s">
        <v>2081</v>
      </c>
      <c r="C3024" s="278" t="str">
        <f>IF(B3024="","",IF($A$8="NÃO DESONERADO",(IF(A3024="SINAPI",VLOOKUP(B3024,#REF!,2,0),IF(A3024="SUDECAP",VLOOKUP(B3024,#REF!,3,0),IF(A3024="SETOP",VLOOKUP(B3024,#REF!,2,0),IF(A3024="COTAÇÃO",VLOOKUP(B3024,'Mapa Cotações'!$A:$N,2,0)))))),(IF(A3024="SINAPI",VLOOKUP(B3024,#REF!,2,0),IF(A3024="SUDECAP",VLOOKUP(B3024,#REF!,3,0),IF(A3024="SETOP",VLOOKUP(B3024,#REF!,2,0),IF(A3024="COTAÇÃO",VLOOKUP(B3024,'Mapa Cotações'!$A:$N,2,0))))))))</f>
        <v>CONJUNTO PARA CONTROLE DE TEMPERATURA COMPOSTO DE: -VÁLVULA ESFERA DE DUAS VIAS MODELO B223-CCV - Ø = 1", CV=10 -ATUADOR AÇÃO PROPORCIONAL MODELO LRX24-MFT '-TERMOSTATO COM SENSOR DE TEMPERATURA PARA DUTO -TRANSFORMADOR DE TENSÃO 220/24VCA. REF.: BELIMO OU EQUIVALENTE</v>
      </c>
      <c r="D3024" s="89" t="str">
        <f>IF(B3024="","",IF($A$8="NÃO DESONERADO",(IF(A3024="SINAPI",VLOOKUP(B3024,#REF!,3,0),IF(A3024="SUDECAP",VLOOKUP(B3024,#REF!,4,0),IF(A3024="SETOP",VLOOKUP(B3024,#REF!,3,0),IF(A3024="COTAÇÃO",VLOOKUP(B3024,'Mapa Cotações'!$A:$N,3,0)))))),(IF(A3024="SINAPI",VLOOKUP(B3024,#REF!,3,0),IF(A3024="SUDECAP",VLOOKUP(B3024,#REF!,4,0),IF(A3024="SETOP",VLOOKUP(B3024,#REF!,3,0),IF(A3024="COTAÇÃO",VLOOKUP(B3024,'Mapa Cotações'!$A:$N,3,0))))))))</f>
        <v>UN</v>
      </c>
      <c r="E3024" s="88">
        <v>1</v>
      </c>
      <c r="F3024" s="89">
        <f>IF(B3024="","",IF($A$8="NÃO DESONERADO",(IF(A3024="SINAPI",VLOOKUP(B3024,#REF!,4,0),IF(A3024="SUDECAP",VLOOKUP(B3024,#REF!,5,0),IF(A3024="SETOP",VLOOKUP(B3024,#REF!,4,0),IF(A3024="COTAÇÃO",VLOOKUP(B3024,'Mapa Cotações'!$A:$N,13,0)))))),(IF(A3024="SINAPI",VLOOKUP(B3024,#REF!,4,0),IF(A3024="SUDECAP",VLOOKUP(B3024,#REF!,5,0),IF(A3024="SETOP",VLOOKUP(B3024,#REF!,4,0),IF(A3024="COTAÇÃO",VLOOKUP(B3024,'Mapa Cotações'!$A:$N,13,0))))))))</f>
        <v>3350</v>
      </c>
      <c r="G3024" s="89">
        <f>IF(D3024="","",E3024*F3024)</f>
        <v>3350</v>
      </c>
    </row>
    <row r="3025" spans="1:7">
      <c r="A3025" s="87"/>
      <c r="B3025" s="87"/>
      <c r="C3025" s="278" t="str">
        <f>IF(B3025="","",IF($A$8="NÃO DESONERADO",(IF(A3025="SINAPI",VLOOKUP(B3025,#REF!,2,0),IF(A3025="SUDECAP",VLOOKUP(B3025,#REF!,3,0),IF(A3025="SETOP",VLOOKUP(B3025,#REF!,2,0),IF(A3025="COTAÇÃO",VLOOKUP(B3025,'Mapa Cotações'!$A:$N,2,0)))))),(IF(A3025="SINAPI",VLOOKUP(B3025,#REF!,2,0),IF(A3025="SUDECAP",VLOOKUP(B3025,#REF!,3,0),IF(A3025="SETOP",VLOOKUP(B3025,#REF!,2,0),IF(A3025="COTAÇÃO",VLOOKUP(B3025,'Mapa Cotações'!$A:$N,2,0))))))))</f>
        <v/>
      </c>
      <c r="D3025" s="89" t="str">
        <f>IF(B3025="","",IF($A$8="NÃO DESONERADO",(IF(A3025="SINAPI",VLOOKUP(B3025,#REF!,3,0),IF(A3025="SUDECAP",VLOOKUP(B3025,#REF!,4,0),IF(A3025="SETOP",VLOOKUP(B3025,#REF!,3,0),IF(A3025="COTAÇÃO",VLOOKUP(B3025,'Mapa Cotações'!$A:$N,3,0)))))),(IF(A3025="SINAPI",VLOOKUP(B3025,#REF!,3,0),IF(A3025="SUDECAP",VLOOKUP(B3025,#REF!,4,0),IF(A3025="SETOP",VLOOKUP(B3025,#REF!,3,0),IF(A3025="COTAÇÃO",VLOOKUP(B3025,'Mapa Cotações'!$A:$N,3,0))))))))</f>
        <v/>
      </c>
      <c r="E3025" s="88"/>
      <c r="F3025" s="89" t="str">
        <f>IF(B3025="","",IF($A$8="NÃO DESONERADO",(IF(A3025="SINAPI",VLOOKUP(B3025,#REF!,4,0),IF(A3025="SUDECAP",VLOOKUP(B3025,#REF!,5,0),IF(A3025="SETOP",VLOOKUP(B3025,#REF!,4,0),IF(A3025="COTAÇÃO",VLOOKUP(B3025,'Mapa Cotações'!$A:$N,13,0)))))),(IF(A3025="SINAPI",VLOOKUP(B3025,#REF!,4,0),IF(A3025="SUDECAP",VLOOKUP(B3025,#REF!,5,0),IF(A3025="SETOP",VLOOKUP(B3025,#REF!,4,0),IF(A3025="COTAÇÃO",VLOOKUP(B3025,'Mapa Cotações'!$A:$N,13,0))))))))</f>
        <v/>
      </c>
      <c r="G3025" s="89" t="str">
        <f>IF(D3025="","",E3025*F3025)</f>
        <v/>
      </c>
    </row>
    <row r="3026" spans="1:7">
      <c r="A3026" s="832" t="s">
        <v>1908</v>
      </c>
      <c r="B3026" s="833"/>
      <c r="C3026" s="833"/>
      <c r="D3026" s="833"/>
      <c r="E3026" s="833"/>
      <c r="F3026" s="834"/>
      <c r="G3026" s="90">
        <f>IF(F3024="","",(SUM(G3024:G3025)))</f>
        <v>3350</v>
      </c>
    </row>
    <row r="3027" spans="1:7">
      <c r="A3027" s="91"/>
      <c r="B3027" s="92"/>
      <c r="C3027" s="161"/>
      <c r="D3027" s="93"/>
      <c r="E3027" s="94"/>
      <c r="F3027" s="95"/>
      <c r="G3027" s="96"/>
    </row>
    <row r="3028" spans="1:7">
      <c r="A3028" s="835" t="s">
        <v>1909</v>
      </c>
      <c r="B3028" s="836"/>
      <c r="C3028" s="836"/>
      <c r="D3028" s="836"/>
      <c r="E3028" s="836"/>
      <c r="F3028" s="836"/>
      <c r="G3028" s="837"/>
    </row>
    <row r="3029" spans="1:7">
      <c r="A3029" s="84" t="s">
        <v>1903</v>
      </c>
      <c r="B3029" s="84" t="s">
        <v>131</v>
      </c>
      <c r="C3029" s="160" t="s">
        <v>1904</v>
      </c>
      <c r="D3029" s="84" t="s">
        <v>167</v>
      </c>
      <c r="E3029" s="85" t="s">
        <v>1905</v>
      </c>
      <c r="F3029" s="86" t="s">
        <v>1906</v>
      </c>
      <c r="G3029" s="86" t="s">
        <v>1907</v>
      </c>
    </row>
    <row r="3030" spans="1:7" ht="24">
      <c r="A3030" s="87" t="s">
        <v>2</v>
      </c>
      <c r="B3030" s="87">
        <v>88248</v>
      </c>
      <c r="C3030" s="278" t="s">
        <v>1947</v>
      </c>
      <c r="D3030" s="89" t="s">
        <v>137</v>
      </c>
      <c r="E3030" s="88">
        <f>0.1485*6</f>
        <v>0.89100000000000001</v>
      </c>
      <c r="F3030" s="89">
        <v>21.45</v>
      </c>
      <c r="G3030" s="89">
        <f t="shared" ref="G3030:G3033" si="39">F3030*E3030</f>
        <v>19.11195</v>
      </c>
    </row>
    <row r="3031" spans="1:7" ht="24">
      <c r="A3031" s="87" t="s">
        <v>2</v>
      </c>
      <c r="B3031" s="87">
        <v>88267</v>
      </c>
      <c r="C3031" s="278" t="s">
        <v>1949</v>
      </c>
      <c r="D3031" s="89" t="s">
        <v>137</v>
      </c>
      <c r="E3031" s="88">
        <f>0.1485*6</f>
        <v>0.89100000000000001</v>
      </c>
      <c r="F3031" s="89">
        <v>26.33</v>
      </c>
      <c r="G3031" s="89">
        <f t="shared" si="39"/>
        <v>23.46003</v>
      </c>
    </row>
    <row r="3032" spans="1:7" ht="24">
      <c r="A3032" s="87" t="s">
        <v>2</v>
      </c>
      <c r="B3032" s="87">
        <v>100308</v>
      </c>
      <c r="C3032" s="278" t="s">
        <v>1936</v>
      </c>
      <c r="D3032" s="89" t="s">
        <v>137</v>
      </c>
      <c r="E3032" s="88">
        <v>4.5</v>
      </c>
      <c r="F3032" s="89">
        <v>28.94</v>
      </c>
      <c r="G3032" s="89">
        <f t="shared" si="39"/>
        <v>130.23000000000002</v>
      </c>
    </row>
    <row r="3033" spans="1:7" ht="24">
      <c r="A3033" s="87" t="s">
        <v>2</v>
      </c>
      <c r="B3033" s="87">
        <v>88250</v>
      </c>
      <c r="C3033" s="278" t="s">
        <v>1937</v>
      </c>
      <c r="D3033" s="89" t="s">
        <v>137</v>
      </c>
      <c r="E3033" s="88">
        <v>4.5</v>
      </c>
      <c r="F3033" s="89">
        <v>20.83</v>
      </c>
      <c r="G3033" s="89">
        <f t="shared" si="39"/>
        <v>93.734999999999985</v>
      </c>
    </row>
    <row r="3034" spans="1:7">
      <c r="A3034" s="832" t="s">
        <v>1908</v>
      </c>
      <c r="B3034" s="833"/>
      <c r="C3034" s="833"/>
      <c r="D3034" s="833"/>
      <c r="E3034" s="833"/>
      <c r="F3034" s="834"/>
      <c r="G3034" s="90">
        <f>IF(F3030="","",(SUM(G3030:G3033)))</f>
        <v>266.53697999999997</v>
      </c>
    </row>
    <row r="3035" spans="1:7">
      <c r="A3035" s="91"/>
      <c r="B3035" s="92"/>
      <c r="C3035" s="162"/>
      <c r="D3035" s="92"/>
      <c r="E3035" s="97"/>
      <c r="F3035" s="98"/>
      <c r="G3035" s="96"/>
    </row>
    <row r="3036" spans="1:7">
      <c r="A3036" s="835" t="s">
        <v>1912</v>
      </c>
      <c r="B3036" s="836"/>
      <c r="C3036" s="836"/>
      <c r="D3036" s="836"/>
      <c r="E3036" s="836"/>
      <c r="F3036" s="836"/>
      <c r="G3036" s="837"/>
    </row>
    <row r="3037" spans="1:7">
      <c r="A3037" s="84" t="s">
        <v>1903</v>
      </c>
      <c r="B3037" s="84" t="s">
        <v>131</v>
      </c>
      <c r="C3037" s="160" t="s">
        <v>1904</v>
      </c>
      <c r="D3037" s="84" t="s">
        <v>167</v>
      </c>
      <c r="E3037" s="85" t="s">
        <v>1905</v>
      </c>
      <c r="F3037" s="86" t="s">
        <v>1906</v>
      </c>
      <c r="G3037" s="86" t="s">
        <v>1907</v>
      </c>
    </row>
    <row r="3038" spans="1:7">
      <c r="A3038" s="87"/>
      <c r="B3038" s="87"/>
      <c r="C3038" s="278" t="str">
        <f>IF(B3038="","",IF($A$8="NÃO DESONERADO",(IF(A3038="SINAPI",VLOOKUP(B3038,#REF!,2,0),IF(A3038="SUDECAP",VLOOKUP(B3038,#REF!,3,0),IF(A3038="SETOP",VLOOKUP(B3038,#REF!,2,0),IF(A3038="COTAÇÃO",VLOOKUP(B3038,'Mapa Cotações'!$A:$N,2,0)))))),(IF(A3038="SINAPI",VLOOKUP(B3038,#REF!,2,0),IF(A3038="SUDECAP",VLOOKUP(B3038,#REF!,3,0),IF(A3038="SETOP",VLOOKUP(B3038,#REF!,2,0),IF(A3038="COTAÇÃO",VLOOKUP(B3038,'Mapa Cotações'!$A:$N,2,0))))))))</f>
        <v/>
      </c>
      <c r="D3038" s="89" t="str">
        <f>IF(B3038="","",IF($A$8="NÃO DESONERADO",(IF(A3038="SINAPI",VLOOKUP(B3038,#REF!,3,0),IF(A3038="SUDECAP",VLOOKUP(B3038,#REF!,4,0),IF(A3038="SETOP",VLOOKUP(B3038,#REF!,3,0),IF(A3038="COTAÇÃO",VLOOKUP(B3038,'Mapa Cotações'!$A:$N,3,0)))))),(IF(A3038="SINAPI",VLOOKUP(B3038,#REF!,3,0),IF(A3038="SUDECAP",VLOOKUP(B3038,#REF!,4,0),IF(A3038="SETOP",VLOOKUP(B3038,#REF!,3,0),IF(A3038="COTAÇÃO",VLOOKUP(B3038,'Mapa Cotações'!$A:$N,3,0))))))))</f>
        <v/>
      </c>
      <c r="E3038" s="88"/>
      <c r="F3038" s="89" t="str">
        <f>IF(B3038="","",IF($A$8="NÃO DESONERADO",(IF(A3038="SINAPI",VLOOKUP(B3038,#REF!,4,0),IF(A3038="SUDECAP",VLOOKUP(B3038,#REF!,5,0),IF(A3038="SETOP",VLOOKUP(B3038,#REF!,4,0),IF(A3038="COTAÇÃO",VLOOKUP(B3038,'Mapa Cotações'!$A:$N,13,0)))))),(IF(A3038="SINAPI",VLOOKUP(B3038,#REF!,4,0),IF(A3038="SUDECAP",VLOOKUP(B3038,#REF!,5,0),IF(A3038="SETOP",VLOOKUP(B3038,#REF!,4,0),IF(A3038="COTAÇÃO",VLOOKUP(B3038,'Mapa Cotações'!$A:$N,13,0))))))))</f>
        <v/>
      </c>
      <c r="G3038" s="89" t="str">
        <f>IF(D3038="","",E3038*F3038)</f>
        <v/>
      </c>
    </row>
    <row r="3039" spans="1:7">
      <c r="A3039" s="87"/>
      <c r="B3039" s="87"/>
      <c r="C3039" s="278" t="str">
        <f>IF(B3039="","",IF($A$8="NÃO DESONERADO",(IF(A3039="SINAPI",VLOOKUP(B3039,#REF!,2,0),IF(A3039="SUDECAP",VLOOKUP(B3039,#REF!,3,0),IF(A3039="SETOP",VLOOKUP(B3039,#REF!,2,0),IF(A3039="COTAÇÃO",VLOOKUP(B3039,'Mapa Cotações'!$A:$N,2,0)))))),(IF(A3039="SINAPI",VLOOKUP(B3039,#REF!,2,0),IF(A3039="SUDECAP",VLOOKUP(B3039,#REF!,3,0),IF(A3039="SETOP",VLOOKUP(B3039,#REF!,2,0),IF(A3039="COTAÇÃO",VLOOKUP(B3039,'Mapa Cotações'!$A:$N,2,0))))))))</f>
        <v/>
      </c>
      <c r="D3039" s="89" t="str">
        <f>IF(B3039="","",IF($A$8="NÃO DESONERADO",(IF(A3039="SINAPI",VLOOKUP(B3039,#REF!,3,0),IF(A3039="SUDECAP",VLOOKUP(B3039,#REF!,4,0),IF(A3039="SETOP",VLOOKUP(B3039,#REF!,3,0),IF(A3039="COTAÇÃO",VLOOKUP(B3039,'Mapa Cotações'!$A:$N,3,0)))))),(IF(A3039="SINAPI",VLOOKUP(B3039,#REF!,3,0),IF(A3039="SUDECAP",VLOOKUP(B3039,#REF!,4,0),IF(A3039="SETOP",VLOOKUP(B3039,#REF!,3,0),IF(A3039="COTAÇÃO",VLOOKUP(B3039,'Mapa Cotações'!$A:$N,3,0))))))))</f>
        <v/>
      </c>
      <c r="E3039" s="88"/>
      <c r="F3039" s="89" t="str">
        <f>IF(B3039="","",IF($A$8="NÃO DESONERADO",(IF(A3039="SINAPI",VLOOKUP(B3039,#REF!,4,0),IF(A3039="SUDECAP",VLOOKUP(B3039,#REF!,5,0),IF(A3039="SETOP",VLOOKUP(B3039,#REF!,4,0),IF(A3039="COTAÇÃO",VLOOKUP(B3039,'Mapa Cotações'!$A:$N,13,0)))))),(IF(A3039="SINAPI",VLOOKUP(B3039,#REF!,4,0),IF(A3039="SUDECAP",VLOOKUP(B3039,#REF!,5,0),IF(A3039="SETOP",VLOOKUP(B3039,#REF!,4,0),IF(A3039="COTAÇÃO",VLOOKUP(B3039,'Mapa Cotações'!$A:$N,13,0))))))))</f>
        <v/>
      </c>
      <c r="G3039" s="89" t="str">
        <f>IF(D3039="","",E3039*F3039)</f>
        <v/>
      </c>
    </row>
    <row r="3040" spans="1:7">
      <c r="A3040" s="832" t="s">
        <v>1908</v>
      </c>
      <c r="B3040" s="833" t="s">
        <v>1908</v>
      </c>
      <c r="C3040" s="833"/>
      <c r="D3040" s="833"/>
      <c r="E3040" s="833"/>
      <c r="F3040" s="834"/>
      <c r="G3040" s="90" t="str">
        <f>IF(F3038="","",(SUM(G3038:G3039)))</f>
        <v/>
      </c>
    </row>
    <row r="3041" spans="1:11" ht="13.5" thickBot="1">
      <c r="A3041" s="91"/>
      <c r="B3041" s="92"/>
      <c r="C3041" s="163"/>
      <c r="D3041" s="99"/>
      <c r="E3041" s="100"/>
      <c r="F3041" s="101"/>
      <c r="G3041" s="102"/>
    </row>
    <row r="3042" spans="1:11" ht="13.5" thickBot="1">
      <c r="A3042" s="838" t="s">
        <v>1259</v>
      </c>
      <c r="B3042" s="839"/>
      <c r="C3042" s="839"/>
      <c r="D3042" s="839"/>
      <c r="E3042" s="839"/>
      <c r="F3042" s="840"/>
      <c r="G3042" s="103">
        <f>SUM(G3026,G3034,G3040)</f>
        <v>3616.5369799999999</v>
      </c>
    </row>
    <row r="3045" spans="1:11">
      <c r="A3045" s="237" t="s">
        <v>131</v>
      </c>
      <c r="B3045" s="190" t="s">
        <v>27</v>
      </c>
      <c r="C3045" s="841" t="s">
        <v>1281</v>
      </c>
      <c r="D3045" s="841"/>
      <c r="E3045" s="841"/>
      <c r="F3045" s="841"/>
      <c r="G3045" s="81" t="s">
        <v>127</v>
      </c>
      <c r="I3045" s="480" t="s">
        <v>1901</v>
      </c>
      <c r="J3045" s="80"/>
      <c r="K3045" s="80"/>
    </row>
    <row r="3046" spans="1:11" ht="50.1" customHeight="1">
      <c r="A3046" s="179" t="s">
        <v>724</v>
      </c>
      <c r="B3046" s="82"/>
      <c r="C3046" s="830" t="s">
        <v>725</v>
      </c>
      <c r="D3046" s="831"/>
      <c r="E3046" s="831"/>
      <c r="F3046" s="186">
        <f>G3065</f>
        <v>1393.380324</v>
      </c>
      <c r="G3046" s="83" t="s">
        <v>167</v>
      </c>
      <c r="I3046" s="481"/>
      <c r="J3046" s="272"/>
      <c r="K3046" s="272"/>
    </row>
    <row r="3047" spans="1:11">
      <c r="A3047" s="818" t="s">
        <v>1902</v>
      </c>
      <c r="B3047" s="819"/>
      <c r="C3047" s="819"/>
      <c r="D3047" s="819"/>
      <c r="E3047" s="819"/>
      <c r="F3047" s="819"/>
      <c r="G3047" s="820"/>
    </row>
    <row r="3048" spans="1:11">
      <c r="A3048" s="84" t="s">
        <v>1903</v>
      </c>
      <c r="B3048" s="84" t="s">
        <v>131</v>
      </c>
      <c r="C3048" s="160" t="s">
        <v>1904</v>
      </c>
      <c r="D3048" s="84" t="s">
        <v>167</v>
      </c>
      <c r="E3048" s="85" t="s">
        <v>1905</v>
      </c>
      <c r="F3048" s="86" t="s">
        <v>1906</v>
      </c>
      <c r="G3048" s="86" t="s">
        <v>1907</v>
      </c>
    </row>
    <row r="3049" spans="1:11" ht="24">
      <c r="A3049" s="87" t="s">
        <v>1917</v>
      </c>
      <c r="B3049" s="87" t="s">
        <v>2082</v>
      </c>
      <c r="C3049" s="278" t="str">
        <f>IF(B3049="","",IF($A$8="NÃO DESONERADO",(IF(A3049="SINAPI",VLOOKUP(B3049,#REF!,2,0),IF(A3049="SUDECAP",VLOOKUP(B3049,#REF!,3,0),IF(A3049="SETOP",VLOOKUP(B3049,#REF!,2,0),IF(A3049="COTAÇÃO",VLOOKUP(B3049,'Mapa Cotações'!$A:$N,2,0)))))),(IF(A3049="SINAPI",VLOOKUP(B3049,#REF!,2,0),IF(A3049="SUDECAP",VLOOKUP(B3049,#REF!,3,0),IF(A3049="SETOP",VLOOKUP(B3049,#REF!,2,0),IF(A3049="COTAÇÃO",VLOOKUP(B3049,'Mapa Cotações'!$A:$N,2,0))))))))</f>
        <v>VÁLVULA PARA BALANCEAMENTO E BLOQUEIO MODELO STAD Ø=2", REF.:TOUR ANDERSON OU EQUIVALENTE</v>
      </c>
      <c r="D3049" s="89" t="str">
        <f>IF(B3049="","",IF($A$8="NÃO DESONERADO",(IF(A3049="SINAPI",VLOOKUP(B3049,#REF!,3,0),IF(A3049="SUDECAP",VLOOKUP(B3049,#REF!,4,0),IF(A3049="SETOP",VLOOKUP(B3049,#REF!,3,0),IF(A3049="COTAÇÃO",VLOOKUP(B3049,'Mapa Cotações'!$A:$N,3,0)))))),(IF(A3049="SINAPI",VLOOKUP(B3049,#REF!,3,0),IF(A3049="SUDECAP",VLOOKUP(B3049,#REF!,4,0),IF(A3049="SETOP",VLOOKUP(B3049,#REF!,3,0),IF(A3049="COTAÇÃO",VLOOKUP(B3049,'Mapa Cotações'!$A:$N,3,0))))))))</f>
        <v>UN</v>
      </c>
      <c r="E3049" s="88">
        <v>1</v>
      </c>
      <c r="F3049" s="89">
        <f>IF(B3049="","",IF($A$8="NÃO DESONERADO",(IF(A3049="SINAPI",VLOOKUP(B3049,#REF!,4,0),IF(A3049="SUDECAP",VLOOKUP(B3049,#REF!,5,0),IF(A3049="SETOP",VLOOKUP(B3049,#REF!,4,0),IF(A3049="COTAÇÃO",VLOOKUP(B3049,'Mapa Cotações'!$A:$N,13,0)))))),(IF(A3049="SINAPI",VLOOKUP(B3049,#REF!,4,0),IF(A3049="SUDECAP",VLOOKUP(B3049,#REF!,5,0),IF(A3049="SETOP",VLOOKUP(B3049,#REF!,4,0),IF(A3049="COTAÇÃO",VLOOKUP(B3049,'Mapa Cotações'!$A:$N,13,0))))))))</f>
        <v>1378.8527999999999</v>
      </c>
      <c r="G3049" s="89">
        <f>IF(D3049="","",E3049*F3049)</f>
        <v>1378.8527999999999</v>
      </c>
    </row>
    <row r="3050" spans="1:11">
      <c r="A3050" s="87" t="s">
        <v>2</v>
      </c>
      <c r="B3050" s="87">
        <v>3148</v>
      </c>
      <c r="C3050" s="278" t="s">
        <v>1956</v>
      </c>
      <c r="D3050" s="89" t="s">
        <v>167</v>
      </c>
      <c r="E3050" s="88">
        <f>0.0132*2</f>
        <v>2.64E-2</v>
      </c>
      <c r="F3050" s="89">
        <v>12.76</v>
      </c>
      <c r="G3050" s="89">
        <f t="shared" ref="G3050" si="40">F3050*E3050</f>
        <v>0.336864</v>
      </c>
    </row>
    <row r="3051" spans="1:11">
      <c r="A3051" s="832" t="s">
        <v>1908</v>
      </c>
      <c r="B3051" s="833"/>
      <c r="C3051" s="833"/>
      <c r="D3051" s="833"/>
      <c r="E3051" s="833"/>
      <c r="F3051" s="834"/>
      <c r="G3051" s="90">
        <f>IF(F3049="","",(SUM(G3049:G3050)))</f>
        <v>1379.189664</v>
      </c>
    </row>
    <row r="3052" spans="1:11">
      <c r="A3052" s="91"/>
      <c r="B3052" s="92"/>
      <c r="C3052" s="161"/>
      <c r="D3052" s="93"/>
      <c r="E3052" s="94"/>
      <c r="F3052" s="95"/>
      <c r="G3052" s="96"/>
    </row>
    <row r="3053" spans="1:11">
      <c r="A3053" s="835" t="s">
        <v>1909</v>
      </c>
      <c r="B3053" s="836"/>
      <c r="C3053" s="836"/>
      <c r="D3053" s="836"/>
      <c r="E3053" s="836"/>
      <c r="F3053" s="836"/>
      <c r="G3053" s="837"/>
    </row>
    <row r="3054" spans="1:11">
      <c r="A3054" s="84" t="s">
        <v>1903</v>
      </c>
      <c r="B3054" s="84" t="s">
        <v>131</v>
      </c>
      <c r="C3054" s="160" t="s">
        <v>1904</v>
      </c>
      <c r="D3054" s="84" t="s">
        <v>167</v>
      </c>
      <c r="E3054" s="85" t="s">
        <v>1905</v>
      </c>
      <c r="F3054" s="86" t="s">
        <v>1906</v>
      </c>
      <c r="G3054" s="86" t="s">
        <v>1907</v>
      </c>
    </row>
    <row r="3055" spans="1:11" ht="24">
      <c r="A3055" s="87" t="s">
        <v>2</v>
      </c>
      <c r="B3055" s="87">
        <v>88248</v>
      </c>
      <c r="C3055" s="278" t="s">
        <v>1947</v>
      </c>
      <c r="D3055" s="89" t="s">
        <v>137</v>
      </c>
      <c r="E3055" s="88">
        <f>0.1485*2</f>
        <v>0.29699999999999999</v>
      </c>
      <c r="F3055" s="89">
        <v>21.45</v>
      </c>
      <c r="G3055" s="89">
        <f t="shared" ref="G3055:G3056" si="41">F3055*E3055</f>
        <v>6.3706499999999995</v>
      </c>
    </row>
    <row r="3056" spans="1:11" ht="24">
      <c r="A3056" s="87" t="s">
        <v>2</v>
      </c>
      <c r="B3056" s="87">
        <v>88267</v>
      </c>
      <c r="C3056" s="278" t="s">
        <v>1949</v>
      </c>
      <c r="D3056" s="89" t="s">
        <v>137</v>
      </c>
      <c r="E3056" s="88">
        <f>0.1485*2</f>
        <v>0.29699999999999999</v>
      </c>
      <c r="F3056" s="89">
        <v>26.33</v>
      </c>
      <c r="G3056" s="89">
        <f t="shared" si="41"/>
        <v>7.820009999999999</v>
      </c>
    </row>
    <row r="3057" spans="1:11">
      <c r="A3057" s="832" t="s">
        <v>1908</v>
      </c>
      <c r="B3057" s="833"/>
      <c r="C3057" s="833"/>
      <c r="D3057" s="833"/>
      <c r="E3057" s="833"/>
      <c r="F3057" s="834"/>
      <c r="G3057" s="90">
        <f>IF(F3055="","",(SUM(G3055:G3056)))</f>
        <v>14.190659999999998</v>
      </c>
    </row>
    <row r="3058" spans="1:11">
      <c r="A3058" s="91"/>
      <c r="B3058" s="92"/>
      <c r="C3058" s="162"/>
      <c r="D3058" s="92"/>
      <c r="E3058" s="97"/>
      <c r="F3058" s="98"/>
      <c r="G3058" s="96"/>
    </row>
    <row r="3059" spans="1:11">
      <c r="A3059" s="835" t="s">
        <v>1912</v>
      </c>
      <c r="B3059" s="836"/>
      <c r="C3059" s="836"/>
      <c r="D3059" s="836"/>
      <c r="E3059" s="836"/>
      <c r="F3059" s="836"/>
      <c r="G3059" s="837"/>
    </row>
    <row r="3060" spans="1:11">
      <c r="A3060" s="84" t="s">
        <v>1903</v>
      </c>
      <c r="B3060" s="84" t="s">
        <v>131</v>
      </c>
      <c r="C3060" s="160" t="s">
        <v>1904</v>
      </c>
      <c r="D3060" s="84" t="s">
        <v>167</v>
      </c>
      <c r="E3060" s="85" t="s">
        <v>1905</v>
      </c>
      <c r="F3060" s="86" t="s">
        <v>1906</v>
      </c>
      <c r="G3060" s="86" t="s">
        <v>1907</v>
      </c>
    </row>
    <row r="3061" spans="1:11">
      <c r="A3061" s="87"/>
      <c r="B3061" s="87"/>
      <c r="C3061" s="278" t="str">
        <f>IF(B3061="","",IF($A$8="NÃO DESONERADO",(IF(A3061="SINAPI",VLOOKUP(B3061,#REF!,2,0),IF(A3061="SUDECAP",VLOOKUP(B3061,#REF!,3,0),IF(A3061="SETOP",VLOOKUP(B3061,#REF!,2,0),IF(A3061="COTAÇÃO",VLOOKUP(B3061,'Mapa Cotações'!$A:$N,2,0)))))),(IF(A3061="SINAPI",VLOOKUP(B3061,#REF!,2,0),IF(A3061="SUDECAP",VLOOKUP(B3061,#REF!,3,0),IF(A3061="SETOP",VLOOKUP(B3061,#REF!,2,0),IF(A3061="COTAÇÃO",VLOOKUP(B3061,'Mapa Cotações'!$A:$N,2,0))))))))</f>
        <v/>
      </c>
      <c r="D3061" s="89" t="str">
        <f>IF(B3061="","",IF($A$8="NÃO DESONERADO",(IF(A3061="SINAPI",VLOOKUP(B3061,#REF!,3,0),IF(A3061="SUDECAP",VLOOKUP(B3061,#REF!,4,0),IF(A3061="SETOP",VLOOKUP(B3061,#REF!,3,0),IF(A3061="COTAÇÃO",VLOOKUP(B3061,'Mapa Cotações'!$A:$N,3,0)))))),(IF(A3061="SINAPI",VLOOKUP(B3061,#REF!,3,0),IF(A3061="SUDECAP",VLOOKUP(B3061,#REF!,4,0),IF(A3061="SETOP",VLOOKUP(B3061,#REF!,3,0),IF(A3061="COTAÇÃO",VLOOKUP(B3061,'Mapa Cotações'!$A:$N,3,0))))))))</f>
        <v/>
      </c>
      <c r="E3061" s="88"/>
      <c r="F3061" s="89" t="str">
        <f>IF(B3061="","",IF($A$8="NÃO DESONERADO",(IF(A3061="SINAPI",VLOOKUP(B3061,#REF!,4,0),IF(A3061="SUDECAP",VLOOKUP(B3061,#REF!,5,0),IF(A3061="SETOP",VLOOKUP(B3061,#REF!,4,0),IF(A3061="COTAÇÃO",VLOOKUP(B3061,'Mapa Cotações'!$A:$N,13,0)))))),(IF(A3061="SINAPI",VLOOKUP(B3061,#REF!,4,0),IF(A3061="SUDECAP",VLOOKUP(B3061,#REF!,5,0),IF(A3061="SETOP",VLOOKUP(B3061,#REF!,4,0),IF(A3061="COTAÇÃO",VLOOKUP(B3061,'Mapa Cotações'!$A:$N,13,0))))))))</f>
        <v/>
      </c>
      <c r="G3061" s="89" t="str">
        <f>IF(D3061="","",E3061*F3061)</f>
        <v/>
      </c>
    </row>
    <row r="3062" spans="1:11">
      <c r="A3062" s="87"/>
      <c r="B3062" s="87"/>
      <c r="C3062" s="278" t="str">
        <f>IF(B3062="","",IF($A$8="NÃO DESONERADO",(IF(A3062="SINAPI",VLOOKUP(B3062,#REF!,2,0),IF(A3062="SUDECAP",VLOOKUP(B3062,#REF!,3,0),IF(A3062="SETOP",VLOOKUP(B3062,#REF!,2,0),IF(A3062="COTAÇÃO",VLOOKUP(B3062,'Mapa Cotações'!$A:$N,2,0)))))),(IF(A3062="SINAPI",VLOOKUP(B3062,#REF!,2,0),IF(A3062="SUDECAP",VLOOKUP(B3062,#REF!,3,0),IF(A3062="SETOP",VLOOKUP(B3062,#REF!,2,0),IF(A3062="COTAÇÃO",VLOOKUP(B3062,'Mapa Cotações'!$A:$N,2,0))))))))</f>
        <v/>
      </c>
      <c r="D3062" s="89" t="str">
        <f>IF(B3062="","",IF($A$8="NÃO DESONERADO",(IF(A3062="SINAPI",VLOOKUP(B3062,#REF!,3,0),IF(A3062="SUDECAP",VLOOKUP(B3062,#REF!,4,0),IF(A3062="SETOP",VLOOKUP(B3062,#REF!,3,0),IF(A3062="COTAÇÃO",VLOOKUP(B3062,'Mapa Cotações'!$A:$N,3,0)))))),(IF(A3062="SINAPI",VLOOKUP(B3062,#REF!,3,0),IF(A3062="SUDECAP",VLOOKUP(B3062,#REF!,4,0),IF(A3062="SETOP",VLOOKUP(B3062,#REF!,3,0),IF(A3062="COTAÇÃO",VLOOKUP(B3062,'Mapa Cotações'!$A:$N,3,0))))))))</f>
        <v/>
      </c>
      <c r="E3062" s="88"/>
      <c r="F3062" s="89" t="str">
        <f>IF(B3062="","",IF($A$8="NÃO DESONERADO",(IF(A3062="SINAPI",VLOOKUP(B3062,#REF!,4,0),IF(A3062="SUDECAP",VLOOKUP(B3062,#REF!,5,0),IF(A3062="SETOP",VLOOKUP(B3062,#REF!,4,0),IF(A3062="COTAÇÃO",VLOOKUP(B3062,'Mapa Cotações'!$A:$N,13,0)))))),(IF(A3062="SINAPI",VLOOKUP(B3062,#REF!,4,0),IF(A3062="SUDECAP",VLOOKUP(B3062,#REF!,5,0),IF(A3062="SETOP",VLOOKUP(B3062,#REF!,4,0),IF(A3062="COTAÇÃO",VLOOKUP(B3062,'Mapa Cotações'!$A:$N,13,0))))))))</f>
        <v/>
      </c>
      <c r="G3062" s="89" t="str">
        <f>IF(D3062="","",E3062*F3062)</f>
        <v/>
      </c>
    </row>
    <row r="3063" spans="1:11">
      <c r="A3063" s="832" t="s">
        <v>1908</v>
      </c>
      <c r="B3063" s="833" t="s">
        <v>1908</v>
      </c>
      <c r="C3063" s="833"/>
      <c r="D3063" s="833"/>
      <c r="E3063" s="833"/>
      <c r="F3063" s="834"/>
      <c r="G3063" s="90" t="str">
        <f>IF(F3061="","",(SUM(G3061:G3062)))</f>
        <v/>
      </c>
    </row>
    <row r="3064" spans="1:11" ht="13.5" thickBot="1">
      <c r="A3064" s="91"/>
      <c r="B3064" s="92"/>
      <c r="C3064" s="163"/>
      <c r="D3064" s="99"/>
      <c r="E3064" s="100"/>
      <c r="F3064" s="101"/>
      <c r="G3064" s="102"/>
    </row>
    <row r="3065" spans="1:11" ht="13.5" thickBot="1">
      <c r="A3065" s="838" t="s">
        <v>1259</v>
      </c>
      <c r="B3065" s="839"/>
      <c r="C3065" s="839"/>
      <c r="D3065" s="839"/>
      <c r="E3065" s="839"/>
      <c r="F3065" s="840"/>
      <c r="G3065" s="103">
        <f>SUM(G3051,G3057,G3063)</f>
        <v>1393.380324</v>
      </c>
    </row>
    <row r="3068" spans="1:11">
      <c r="A3068" s="237" t="s">
        <v>131</v>
      </c>
      <c r="B3068" s="190" t="s">
        <v>27</v>
      </c>
      <c r="C3068" s="841" t="s">
        <v>1281</v>
      </c>
      <c r="D3068" s="841"/>
      <c r="E3068" s="841"/>
      <c r="F3068" s="841"/>
      <c r="G3068" s="81" t="s">
        <v>127</v>
      </c>
      <c r="I3068" s="480" t="s">
        <v>1901</v>
      </c>
      <c r="J3068" s="80"/>
      <c r="K3068" s="80"/>
    </row>
    <row r="3069" spans="1:11" ht="50.1" customHeight="1">
      <c r="A3069" s="179" t="s">
        <v>727</v>
      </c>
      <c r="B3069" s="82"/>
      <c r="C3069" s="830" t="s">
        <v>728</v>
      </c>
      <c r="D3069" s="831"/>
      <c r="E3069" s="831"/>
      <c r="F3069" s="186">
        <f>G3088</f>
        <v>1066.3897024999999</v>
      </c>
      <c r="G3069" s="83" t="s">
        <v>167</v>
      </c>
      <c r="I3069" s="481"/>
      <c r="J3069" s="272"/>
      <c r="K3069" s="272"/>
    </row>
    <row r="3070" spans="1:11">
      <c r="A3070" s="818" t="s">
        <v>1902</v>
      </c>
      <c r="B3070" s="819"/>
      <c r="C3070" s="819"/>
      <c r="D3070" s="819"/>
      <c r="E3070" s="819"/>
      <c r="F3070" s="819"/>
      <c r="G3070" s="820"/>
    </row>
    <row r="3071" spans="1:11">
      <c r="A3071" s="84" t="s">
        <v>1903</v>
      </c>
      <c r="B3071" s="84" t="s">
        <v>131</v>
      </c>
      <c r="C3071" s="160" t="s">
        <v>1904</v>
      </c>
      <c r="D3071" s="84" t="s">
        <v>167</v>
      </c>
      <c r="E3071" s="85" t="s">
        <v>1905</v>
      </c>
      <c r="F3071" s="86" t="s">
        <v>1906</v>
      </c>
      <c r="G3071" s="86" t="s">
        <v>1907</v>
      </c>
    </row>
    <row r="3072" spans="1:11" ht="24">
      <c r="A3072" s="87" t="s">
        <v>1917</v>
      </c>
      <c r="B3072" s="87" t="s">
        <v>2083</v>
      </c>
      <c r="C3072" s="278" t="str">
        <f>IF(B3072="","",IF($A$8="NÃO DESONERADO",(IF(A3072="SINAPI",VLOOKUP(B3072,#REF!,2,0),IF(A3072="SUDECAP",VLOOKUP(B3072,#REF!,3,0),IF(A3072="SETOP",VLOOKUP(B3072,#REF!,2,0),IF(A3072="COTAÇÃO",VLOOKUP(B3072,'Mapa Cotações'!$A:$N,2,0)))))),(IF(A3072="SINAPI",VLOOKUP(B3072,#REF!,2,0),IF(A3072="SUDECAP",VLOOKUP(B3072,#REF!,3,0),IF(A3072="SETOP",VLOOKUP(B3072,#REF!,2,0),IF(A3072="COTAÇÃO",VLOOKUP(B3072,'Mapa Cotações'!$A:$N,2,0))))))))</f>
        <v>VÁLVULA PARA BALANCEAMENTO E BLOQUEIO MODELO STAD Ø=11/4", REF.:TOUR ANDERSON OU EQUIVALENTE</v>
      </c>
      <c r="D3072" s="89" t="str">
        <f>IF(B3072="","",IF($A$8="NÃO DESONERADO",(IF(A3072="SINAPI",VLOOKUP(B3072,#REF!,3,0),IF(A3072="SUDECAP",VLOOKUP(B3072,#REF!,4,0),IF(A3072="SETOP",VLOOKUP(B3072,#REF!,3,0),IF(A3072="COTAÇÃO",VLOOKUP(B3072,'Mapa Cotações'!$A:$N,3,0)))))),(IF(A3072="SINAPI",VLOOKUP(B3072,#REF!,3,0),IF(A3072="SUDECAP",VLOOKUP(B3072,#REF!,4,0),IF(A3072="SETOP",VLOOKUP(B3072,#REF!,3,0),IF(A3072="COTAÇÃO",VLOOKUP(B3072,'Mapa Cotações'!$A:$N,3,0))))))))</f>
        <v>UN</v>
      </c>
      <c r="E3072" s="88">
        <v>1</v>
      </c>
      <c r="F3072" s="89">
        <f>IF(B3072="","",IF($A$8="NÃO DESONERADO",(IF(A3072="SINAPI",VLOOKUP(B3072,#REF!,4,0),IF(A3072="SUDECAP",VLOOKUP(B3072,#REF!,5,0),IF(A3072="SETOP",VLOOKUP(B3072,#REF!,4,0),IF(A3072="COTAÇÃO",VLOOKUP(B3072,'Mapa Cotações'!$A:$N,13,0)))))),(IF(A3072="SINAPI",VLOOKUP(B3072,#REF!,4,0),IF(A3072="SUDECAP",VLOOKUP(B3072,#REF!,5,0),IF(A3072="SETOP",VLOOKUP(B3072,#REF!,4,0),IF(A3072="COTAÇÃO",VLOOKUP(B3072,'Mapa Cotações'!$A:$N,13,0))))))))</f>
        <v>1057.31</v>
      </c>
      <c r="G3072" s="89">
        <f>IF(D3072="","",E3072*F3072)</f>
        <v>1057.31</v>
      </c>
    </row>
    <row r="3073" spans="1:7">
      <c r="A3073" s="87" t="s">
        <v>2</v>
      </c>
      <c r="B3073" s="87">
        <v>3148</v>
      </c>
      <c r="C3073" s="278" t="s">
        <v>1956</v>
      </c>
      <c r="D3073" s="89" t="s">
        <v>167</v>
      </c>
      <c r="E3073" s="88">
        <f>0.0132*1.25</f>
        <v>1.6500000000000001E-2</v>
      </c>
      <c r="F3073" s="89">
        <v>12.76</v>
      </c>
      <c r="G3073" s="89">
        <f t="shared" ref="G3073" si="42">F3073*E3073</f>
        <v>0.21054</v>
      </c>
    </row>
    <row r="3074" spans="1:7">
      <c r="A3074" s="832" t="s">
        <v>1908</v>
      </c>
      <c r="B3074" s="833"/>
      <c r="C3074" s="833"/>
      <c r="D3074" s="833"/>
      <c r="E3074" s="833"/>
      <c r="F3074" s="834"/>
      <c r="G3074" s="90">
        <f>IF(F3072="","",(SUM(G3072:G3073)))</f>
        <v>1057.52054</v>
      </c>
    </row>
    <row r="3075" spans="1:7">
      <c r="A3075" s="91"/>
      <c r="B3075" s="92"/>
      <c r="C3075" s="161"/>
      <c r="D3075" s="93"/>
      <c r="E3075" s="94"/>
      <c r="F3075" s="95"/>
      <c r="G3075" s="96"/>
    </row>
    <row r="3076" spans="1:7">
      <c r="A3076" s="835" t="s">
        <v>1909</v>
      </c>
      <c r="B3076" s="836"/>
      <c r="C3076" s="836"/>
      <c r="D3076" s="836"/>
      <c r="E3076" s="836"/>
      <c r="F3076" s="836"/>
      <c r="G3076" s="837"/>
    </row>
    <row r="3077" spans="1:7">
      <c r="A3077" s="84" t="s">
        <v>1903</v>
      </c>
      <c r="B3077" s="84" t="s">
        <v>131</v>
      </c>
      <c r="C3077" s="160" t="s">
        <v>1904</v>
      </c>
      <c r="D3077" s="84" t="s">
        <v>167</v>
      </c>
      <c r="E3077" s="85" t="s">
        <v>1905</v>
      </c>
      <c r="F3077" s="86" t="s">
        <v>1906</v>
      </c>
      <c r="G3077" s="86" t="s">
        <v>1907</v>
      </c>
    </row>
    <row r="3078" spans="1:7" ht="24">
      <c r="A3078" s="87" t="s">
        <v>2</v>
      </c>
      <c r="B3078" s="87">
        <v>88248</v>
      </c>
      <c r="C3078" s="278" t="s">
        <v>1947</v>
      </c>
      <c r="D3078" s="89" t="s">
        <v>137</v>
      </c>
      <c r="E3078" s="88">
        <f>0.1485*1.25</f>
        <v>0.18562499999999998</v>
      </c>
      <c r="F3078" s="89">
        <v>21.45</v>
      </c>
      <c r="G3078" s="89">
        <f t="shared" ref="G3078:G3079" si="43">F3078*E3078</f>
        <v>3.9816562499999995</v>
      </c>
    </row>
    <row r="3079" spans="1:7" ht="24">
      <c r="A3079" s="87" t="s">
        <v>2</v>
      </c>
      <c r="B3079" s="87">
        <v>88267</v>
      </c>
      <c r="C3079" s="278" t="s">
        <v>1949</v>
      </c>
      <c r="D3079" s="89" t="s">
        <v>137</v>
      </c>
      <c r="E3079" s="88">
        <f>0.1485*1.25</f>
        <v>0.18562499999999998</v>
      </c>
      <c r="F3079" s="89">
        <v>26.33</v>
      </c>
      <c r="G3079" s="89">
        <f t="shared" si="43"/>
        <v>4.8875062499999995</v>
      </c>
    </row>
    <row r="3080" spans="1:7">
      <c r="A3080" s="832" t="s">
        <v>1908</v>
      </c>
      <c r="B3080" s="833"/>
      <c r="C3080" s="833"/>
      <c r="D3080" s="833"/>
      <c r="E3080" s="833"/>
      <c r="F3080" s="834"/>
      <c r="G3080" s="90">
        <f>IF(F3078="","",(SUM(G3078:G3079)))</f>
        <v>8.8691624999999981</v>
      </c>
    </row>
    <row r="3081" spans="1:7">
      <c r="A3081" s="91"/>
      <c r="B3081" s="92"/>
      <c r="C3081" s="162"/>
      <c r="D3081" s="92"/>
      <c r="E3081" s="97"/>
      <c r="F3081" s="98"/>
      <c r="G3081" s="96"/>
    </row>
    <row r="3082" spans="1:7">
      <c r="A3082" s="835" t="s">
        <v>1912</v>
      </c>
      <c r="B3082" s="836"/>
      <c r="C3082" s="836"/>
      <c r="D3082" s="836"/>
      <c r="E3082" s="836"/>
      <c r="F3082" s="836"/>
      <c r="G3082" s="837"/>
    </row>
    <row r="3083" spans="1:7">
      <c r="A3083" s="84" t="s">
        <v>1903</v>
      </c>
      <c r="B3083" s="84" t="s">
        <v>131</v>
      </c>
      <c r="C3083" s="160" t="s">
        <v>1904</v>
      </c>
      <c r="D3083" s="84" t="s">
        <v>167</v>
      </c>
      <c r="E3083" s="85" t="s">
        <v>1905</v>
      </c>
      <c r="F3083" s="86" t="s">
        <v>1906</v>
      </c>
      <c r="G3083" s="86" t="s">
        <v>1907</v>
      </c>
    </row>
    <row r="3084" spans="1:7">
      <c r="A3084" s="87"/>
      <c r="B3084" s="87"/>
      <c r="C3084" s="278" t="str">
        <f>IF(B3084="","",IF($A$8="NÃO DESONERADO",(IF(A3084="SINAPI",VLOOKUP(B3084,#REF!,2,0),IF(A3084="SUDECAP",VLOOKUP(B3084,#REF!,3,0),IF(A3084="SETOP",VLOOKUP(B3084,#REF!,2,0),IF(A3084="COTAÇÃO",VLOOKUP(B3084,'Mapa Cotações'!$A:$N,2,0)))))),(IF(A3084="SINAPI",VLOOKUP(B3084,#REF!,2,0),IF(A3084="SUDECAP",VLOOKUP(B3084,#REF!,3,0),IF(A3084="SETOP",VLOOKUP(B3084,#REF!,2,0),IF(A3084="COTAÇÃO",VLOOKUP(B3084,'Mapa Cotações'!$A:$N,2,0))))))))</f>
        <v/>
      </c>
      <c r="D3084" s="89" t="str">
        <f>IF(B3084="","",IF($A$8="NÃO DESONERADO",(IF(A3084="SINAPI",VLOOKUP(B3084,#REF!,3,0),IF(A3084="SUDECAP",VLOOKUP(B3084,#REF!,4,0),IF(A3084="SETOP",VLOOKUP(B3084,#REF!,3,0),IF(A3084="COTAÇÃO",VLOOKUP(B3084,'Mapa Cotações'!$A:$N,3,0)))))),(IF(A3084="SINAPI",VLOOKUP(B3084,#REF!,3,0),IF(A3084="SUDECAP",VLOOKUP(B3084,#REF!,4,0),IF(A3084="SETOP",VLOOKUP(B3084,#REF!,3,0),IF(A3084="COTAÇÃO",VLOOKUP(B3084,'Mapa Cotações'!$A:$N,3,0))))))))</f>
        <v/>
      </c>
      <c r="E3084" s="88"/>
      <c r="F3084" s="89" t="str">
        <f>IF(B3084="","",IF($A$8="NÃO DESONERADO",(IF(A3084="SINAPI",VLOOKUP(B3084,#REF!,4,0),IF(A3084="SUDECAP",VLOOKUP(B3084,#REF!,5,0),IF(A3084="SETOP",VLOOKUP(B3084,#REF!,4,0),IF(A3084="COTAÇÃO",VLOOKUP(B3084,'Mapa Cotações'!$A:$N,13,0)))))),(IF(A3084="SINAPI",VLOOKUP(B3084,#REF!,4,0),IF(A3084="SUDECAP",VLOOKUP(B3084,#REF!,5,0),IF(A3084="SETOP",VLOOKUP(B3084,#REF!,4,0),IF(A3084="COTAÇÃO",VLOOKUP(B3084,'Mapa Cotações'!$A:$N,13,0))))))))</f>
        <v/>
      </c>
      <c r="G3084" s="89" t="str">
        <f>IF(D3084="","",E3084*F3084)</f>
        <v/>
      </c>
    </row>
    <row r="3085" spans="1:7">
      <c r="A3085" s="87"/>
      <c r="B3085" s="87"/>
      <c r="C3085" s="278" t="str">
        <f>IF(B3085="","",IF($A$8="NÃO DESONERADO",(IF(A3085="SINAPI",VLOOKUP(B3085,#REF!,2,0),IF(A3085="SUDECAP",VLOOKUP(B3085,#REF!,3,0),IF(A3085="SETOP",VLOOKUP(B3085,#REF!,2,0),IF(A3085="COTAÇÃO",VLOOKUP(B3085,'Mapa Cotações'!$A:$N,2,0)))))),(IF(A3085="SINAPI",VLOOKUP(B3085,#REF!,2,0),IF(A3085="SUDECAP",VLOOKUP(B3085,#REF!,3,0),IF(A3085="SETOP",VLOOKUP(B3085,#REF!,2,0),IF(A3085="COTAÇÃO",VLOOKUP(B3085,'Mapa Cotações'!$A:$N,2,0))))))))</f>
        <v/>
      </c>
      <c r="D3085" s="89" t="str">
        <f>IF(B3085="","",IF($A$8="NÃO DESONERADO",(IF(A3085="SINAPI",VLOOKUP(B3085,#REF!,3,0),IF(A3085="SUDECAP",VLOOKUP(B3085,#REF!,4,0),IF(A3085="SETOP",VLOOKUP(B3085,#REF!,3,0),IF(A3085="COTAÇÃO",VLOOKUP(B3085,'Mapa Cotações'!$A:$N,3,0)))))),(IF(A3085="SINAPI",VLOOKUP(B3085,#REF!,3,0),IF(A3085="SUDECAP",VLOOKUP(B3085,#REF!,4,0),IF(A3085="SETOP",VLOOKUP(B3085,#REF!,3,0),IF(A3085="COTAÇÃO",VLOOKUP(B3085,'Mapa Cotações'!$A:$N,3,0))))))))</f>
        <v/>
      </c>
      <c r="E3085" s="88"/>
      <c r="F3085" s="89" t="str">
        <f>IF(B3085="","",IF($A$8="NÃO DESONERADO",(IF(A3085="SINAPI",VLOOKUP(B3085,#REF!,4,0),IF(A3085="SUDECAP",VLOOKUP(B3085,#REF!,5,0),IF(A3085="SETOP",VLOOKUP(B3085,#REF!,4,0),IF(A3085="COTAÇÃO",VLOOKUP(B3085,'Mapa Cotações'!$A:$N,13,0)))))),(IF(A3085="SINAPI",VLOOKUP(B3085,#REF!,4,0),IF(A3085="SUDECAP",VLOOKUP(B3085,#REF!,5,0),IF(A3085="SETOP",VLOOKUP(B3085,#REF!,4,0),IF(A3085="COTAÇÃO",VLOOKUP(B3085,'Mapa Cotações'!$A:$N,13,0))))))))</f>
        <v/>
      </c>
      <c r="G3085" s="89" t="str">
        <f>IF(D3085="","",E3085*F3085)</f>
        <v/>
      </c>
    </row>
    <row r="3086" spans="1:7">
      <c r="A3086" s="832" t="s">
        <v>1908</v>
      </c>
      <c r="B3086" s="833" t="s">
        <v>1908</v>
      </c>
      <c r="C3086" s="833"/>
      <c r="D3086" s="833"/>
      <c r="E3086" s="833"/>
      <c r="F3086" s="834"/>
      <c r="G3086" s="90" t="str">
        <f>IF(F3084="","",(SUM(G3084:G3085)))</f>
        <v/>
      </c>
    </row>
    <row r="3087" spans="1:7" ht="13.5" thickBot="1">
      <c r="A3087" s="91"/>
      <c r="B3087" s="92"/>
      <c r="C3087" s="163"/>
      <c r="D3087" s="99"/>
      <c r="E3087" s="100"/>
      <c r="F3087" s="101"/>
      <c r="G3087" s="102"/>
    </row>
    <row r="3088" spans="1:7" ht="13.5" thickBot="1">
      <c r="A3088" s="838" t="s">
        <v>1259</v>
      </c>
      <c r="B3088" s="839"/>
      <c r="C3088" s="839"/>
      <c r="D3088" s="839"/>
      <c r="E3088" s="839"/>
      <c r="F3088" s="840"/>
      <c r="G3088" s="103">
        <f>SUM(G3074,G3080,G3086)</f>
        <v>1066.3897024999999</v>
      </c>
    </row>
    <row r="3091" spans="1:11">
      <c r="A3091" s="237" t="s">
        <v>131</v>
      </c>
      <c r="B3091" s="190" t="s">
        <v>27</v>
      </c>
      <c r="C3091" s="841" t="s">
        <v>1281</v>
      </c>
      <c r="D3091" s="841"/>
      <c r="E3091" s="841"/>
      <c r="F3091" s="841"/>
      <c r="G3091" s="81" t="s">
        <v>127</v>
      </c>
      <c r="I3091" s="480" t="s">
        <v>1901</v>
      </c>
      <c r="J3091" s="80"/>
      <c r="K3091" s="80"/>
    </row>
    <row r="3092" spans="1:11" ht="50.1" customHeight="1">
      <c r="A3092" s="179" t="s">
        <v>730</v>
      </c>
      <c r="B3092" s="82"/>
      <c r="C3092" s="830" t="s">
        <v>731</v>
      </c>
      <c r="D3092" s="831"/>
      <c r="E3092" s="831"/>
      <c r="F3092" s="186">
        <f>G3111</f>
        <v>5145.7197999999999</v>
      </c>
      <c r="G3092" s="83" t="s">
        <v>167</v>
      </c>
      <c r="I3092" s="481"/>
      <c r="J3092" s="272"/>
      <c r="K3092" s="272"/>
    </row>
    <row r="3093" spans="1:11">
      <c r="A3093" s="818" t="s">
        <v>1902</v>
      </c>
      <c r="B3093" s="819"/>
      <c r="C3093" s="819"/>
      <c r="D3093" s="819"/>
      <c r="E3093" s="819"/>
      <c r="F3093" s="819"/>
      <c r="G3093" s="820"/>
    </row>
    <row r="3094" spans="1:11">
      <c r="A3094" s="84" t="s">
        <v>1903</v>
      </c>
      <c r="B3094" s="84" t="s">
        <v>131</v>
      </c>
      <c r="C3094" s="160" t="s">
        <v>1904</v>
      </c>
      <c r="D3094" s="84" t="s">
        <v>167</v>
      </c>
      <c r="E3094" s="85" t="s">
        <v>1905</v>
      </c>
      <c r="F3094" s="86" t="s">
        <v>1906</v>
      </c>
      <c r="G3094" s="86" t="s">
        <v>1907</v>
      </c>
    </row>
    <row r="3095" spans="1:11" ht="24">
      <c r="A3095" s="87" t="s">
        <v>1917</v>
      </c>
      <c r="B3095" s="87" t="s">
        <v>2084</v>
      </c>
      <c r="C3095" s="278" t="str">
        <f>IF(B3095="","",IF($A$8="NÃO DESONERADO",(IF(A3095="SINAPI",VLOOKUP(B3095,#REF!,2,0),IF(A3095="SUDECAP",VLOOKUP(B3095,#REF!,3,0),IF(A3095="SETOP",VLOOKUP(B3095,#REF!,2,0),IF(A3095="COTAÇÃO",VLOOKUP(B3095,'Mapa Cotações'!$A:$N,2,0)))))),(IF(A3095="SINAPI",VLOOKUP(B3095,#REF!,2,0),IF(A3095="SUDECAP",VLOOKUP(B3095,#REF!,3,0),IF(A3095="SETOP",VLOOKUP(B3095,#REF!,2,0),IF(A3095="COTAÇÃO",VLOOKUP(B3095,'Mapa Cotações'!$A:$N,2,0))))))))</f>
        <v>VÁLVULA PARA BALANCEAMENTO E BLOQUEIO MODELO STAD Ø=60", REF.:TOUR ANDERSON OU EQUIVALENTE</v>
      </c>
      <c r="D3095" s="89" t="str">
        <f>IF(B3095="","",IF($A$8="NÃO DESONERADO",(IF(A3095="SINAPI",VLOOKUP(B3095,#REF!,3,0),IF(A3095="SUDECAP",VLOOKUP(B3095,#REF!,4,0),IF(A3095="SETOP",VLOOKUP(B3095,#REF!,3,0),IF(A3095="COTAÇÃO",VLOOKUP(B3095,'Mapa Cotações'!$A:$N,3,0)))))),(IF(A3095="SINAPI",VLOOKUP(B3095,#REF!,3,0),IF(A3095="SUDECAP",VLOOKUP(B3095,#REF!,4,0),IF(A3095="SETOP",VLOOKUP(B3095,#REF!,3,0),IF(A3095="COTAÇÃO",VLOOKUP(B3095,'Mapa Cotações'!$A:$N,3,0))))))))</f>
        <v>UN</v>
      </c>
      <c r="E3095" s="88">
        <v>1</v>
      </c>
      <c r="F3095" s="89">
        <f>IF(B3095="","",IF($A$8="NÃO DESONERADO",(IF(A3095="SINAPI",VLOOKUP(B3095,#REF!,4,0),IF(A3095="SUDECAP",VLOOKUP(B3095,#REF!,5,0),IF(A3095="SETOP",VLOOKUP(B3095,#REF!,4,0),IF(A3095="COTAÇÃO",VLOOKUP(B3095,'Mapa Cotações'!$A:$N,13,0)))))),(IF(A3095="SINAPI",VLOOKUP(B3095,#REF!,4,0),IF(A3095="SUDECAP",VLOOKUP(B3095,#REF!,5,0),IF(A3095="SETOP",VLOOKUP(B3095,#REF!,4,0),IF(A3095="COTAÇÃO",VLOOKUP(B3095,'Mapa Cotações'!$A:$N,13,0))))))))</f>
        <v>4720</v>
      </c>
      <c r="G3095" s="89">
        <f>IF(D3095="","",E3095*F3095)</f>
        <v>4720</v>
      </c>
    </row>
    <row r="3096" spans="1:11">
      <c r="A3096" s="87"/>
      <c r="B3096" s="87"/>
      <c r="C3096" s="278" t="str">
        <f>IF(B3096="","",IF($A$8="NÃO DESONERADO",(IF(A3096="SINAPI",VLOOKUP(B3096,#REF!,2,0),IF(A3096="SUDECAP",VLOOKUP(B3096,#REF!,3,0),IF(A3096="SETOP",VLOOKUP(B3096,#REF!,2,0),IF(A3096="COTAÇÃO",VLOOKUP(B3096,'Mapa Cotações'!$A:$N,2,0)))))),(IF(A3096="SINAPI",VLOOKUP(B3096,#REF!,2,0),IF(A3096="SUDECAP",VLOOKUP(B3096,#REF!,3,0),IF(A3096="SETOP",VLOOKUP(B3096,#REF!,2,0),IF(A3096="COTAÇÃO",VLOOKUP(B3096,'Mapa Cotações'!$A:$N,2,0))))))))</f>
        <v/>
      </c>
      <c r="D3096" s="89" t="str">
        <f>IF(B3096="","",IF($A$8="NÃO DESONERADO",(IF(A3096="SINAPI",VLOOKUP(B3096,#REF!,3,0),IF(A3096="SUDECAP",VLOOKUP(B3096,#REF!,4,0),IF(A3096="SETOP",VLOOKUP(B3096,#REF!,3,0),IF(A3096="COTAÇÃO",VLOOKUP(B3096,'Mapa Cotações'!$A:$N,3,0)))))),(IF(A3096="SINAPI",VLOOKUP(B3096,#REF!,3,0),IF(A3096="SUDECAP",VLOOKUP(B3096,#REF!,4,0),IF(A3096="SETOP",VLOOKUP(B3096,#REF!,3,0),IF(A3096="COTAÇÃO",VLOOKUP(B3096,'Mapa Cotações'!$A:$N,3,0))))))))</f>
        <v/>
      </c>
      <c r="E3096" s="88"/>
      <c r="F3096" s="89" t="str">
        <f>IF(B3096="","",IF($A$8="NÃO DESONERADO",(IF(A3096="SINAPI",VLOOKUP(B3096,#REF!,4,0),IF(A3096="SUDECAP",VLOOKUP(B3096,#REF!,5,0),IF(A3096="SETOP",VLOOKUP(B3096,#REF!,4,0),IF(A3096="COTAÇÃO",VLOOKUP(B3096,'Mapa Cotações'!$A:$N,13,0)))))),(IF(A3096="SINAPI",VLOOKUP(B3096,#REF!,4,0),IF(A3096="SUDECAP",VLOOKUP(B3096,#REF!,5,0),IF(A3096="SETOP",VLOOKUP(B3096,#REF!,4,0),IF(A3096="COTAÇÃO",VLOOKUP(B3096,'Mapa Cotações'!$A:$N,13,0))))))))</f>
        <v/>
      </c>
      <c r="G3096" s="89" t="str">
        <f>IF(D3096="","",E3096*F3096)</f>
        <v/>
      </c>
    </row>
    <row r="3097" spans="1:11">
      <c r="A3097" s="832" t="s">
        <v>1908</v>
      </c>
      <c r="B3097" s="833"/>
      <c r="C3097" s="833"/>
      <c r="D3097" s="833"/>
      <c r="E3097" s="833"/>
      <c r="F3097" s="834"/>
      <c r="G3097" s="90">
        <f>IF(F3095="","",(SUM(G3095:G3096)))</f>
        <v>4720</v>
      </c>
    </row>
    <row r="3098" spans="1:11">
      <c r="A3098" s="91"/>
      <c r="B3098" s="92"/>
      <c r="C3098" s="161"/>
      <c r="D3098" s="93"/>
      <c r="E3098" s="94"/>
      <c r="F3098" s="95"/>
      <c r="G3098" s="96"/>
    </row>
    <row r="3099" spans="1:11">
      <c r="A3099" s="835" t="s">
        <v>1909</v>
      </c>
      <c r="B3099" s="836"/>
      <c r="C3099" s="836"/>
      <c r="D3099" s="836"/>
      <c r="E3099" s="836"/>
      <c r="F3099" s="836"/>
      <c r="G3099" s="837"/>
    </row>
    <row r="3100" spans="1:11">
      <c r="A3100" s="84" t="s">
        <v>1903</v>
      </c>
      <c r="B3100" s="84" t="s">
        <v>131</v>
      </c>
      <c r="C3100" s="160" t="s">
        <v>1904</v>
      </c>
      <c r="D3100" s="84" t="s">
        <v>167</v>
      </c>
      <c r="E3100" s="85" t="s">
        <v>1905</v>
      </c>
      <c r="F3100" s="86" t="s">
        <v>1906</v>
      </c>
      <c r="G3100" s="86" t="s">
        <v>1907</v>
      </c>
    </row>
    <row r="3101" spans="1:11" ht="24">
      <c r="A3101" s="87" t="s">
        <v>2</v>
      </c>
      <c r="B3101" s="87">
        <v>88248</v>
      </c>
      <c r="C3101" s="278" t="s">
        <v>1947</v>
      </c>
      <c r="D3101" s="89" t="s">
        <v>137</v>
      </c>
      <c r="E3101" s="88">
        <f>0.1485*60</f>
        <v>8.91</v>
      </c>
      <c r="F3101" s="89">
        <v>21.45</v>
      </c>
      <c r="G3101" s="89">
        <f t="shared" ref="G3101:G3102" si="44">F3101*E3101</f>
        <v>191.11949999999999</v>
      </c>
    </row>
    <row r="3102" spans="1:11" ht="24">
      <c r="A3102" s="87" t="s">
        <v>2</v>
      </c>
      <c r="B3102" s="87">
        <v>88267</v>
      </c>
      <c r="C3102" s="278" t="s">
        <v>1949</v>
      </c>
      <c r="D3102" s="89" t="s">
        <v>137</v>
      </c>
      <c r="E3102" s="88">
        <f>0.1485*60</f>
        <v>8.91</v>
      </c>
      <c r="F3102" s="89">
        <v>26.33</v>
      </c>
      <c r="G3102" s="89">
        <f t="shared" si="44"/>
        <v>234.60029999999998</v>
      </c>
    </row>
    <row r="3103" spans="1:11">
      <c r="A3103" s="832" t="s">
        <v>1908</v>
      </c>
      <c r="B3103" s="833"/>
      <c r="C3103" s="833"/>
      <c r="D3103" s="833"/>
      <c r="E3103" s="833"/>
      <c r="F3103" s="834"/>
      <c r="G3103" s="90">
        <f>IF(F3101="","",(SUM(G3101:G3102)))</f>
        <v>425.71979999999996</v>
      </c>
    </row>
    <row r="3104" spans="1:11">
      <c r="A3104" s="91"/>
      <c r="B3104" s="92"/>
      <c r="C3104" s="162"/>
      <c r="D3104" s="92"/>
      <c r="E3104" s="97"/>
      <c r="F3104" s="98"/>
      <c r="G3104" s="96"/>
    </row>
    <row r="3105" spans="1:11">
      <c r="A3105" s="835" t="s">
        <v>1912</v>
      </c>
      <c r="B3105" s="836"/>
      <c r="C3105" s="836"/>
      <c r="D3105" s="836"/>
      <c r="E3105" s="836"/>
      <c r="F3105" s="836"/>
      <c r="G3105" s="837"/>
    </row>
    <row r="3106" spans="1:11">
      <c r="A3106" s="84" t="s">
        <v>1903</v>
      </c>
      <c r="B3106" s="84" t="s">
        <v>131</v>
      </c>
      <c r="C3106" s="160" t="s">
        <v>1904</v>
      </c>
      <c r="D3106" s="84" t="s">
        <v>167</v>
      </c>
      <c r="E3106" s="85" t="s">
        <v>1905</v>
      </c>
      <c r="F3106" s="86" t="s">
        <v>1906</v>
      </c>
      <c r="G3106" s="86" t="s">
        <v>1907</v>
      </c>
    </row>
    <row r="3107" spans="1:11">
      <c r="A3107" s="87"/>
      <c r="B3107" s="87"/>
      <c r="C3107" s="278" t="str">
        <f>IF(B3107="","",IF($A$8="NÃO DESONERADO",(IF(A3107="SINAPI",VLOOKUP(B3107,#REF!,2,0),IF(A3107="SUDECAP",VLOOKUP(B3107,#REF!,3,0),IF(A3107="SETOP",VLOOKUP(B3107,#REF!,2,0),IF(A3107="COTAÇÃO",VLOOKUP(B3107,'Mapa Cotações'!$A:$N,2,0)))))),(IF(A3107="SINAPI",VLOOKUP(B3107,#REF!,2,0),IF(A3107="SUDECAP",VLOOKUP(B3107,#REF!,3,0),IF(A3107="SETOP",VLOOKUP(B3107,#REF!,2,0),IF(A3107="COTAÇÃO",VLOOKUP(B3107,'Mapa Cotações'!$A:$N,2,0))))))))</f>
        <v/>
      </c>
      <c r="D3107" s="89" t="str">
        <f>IF(B3107="","",IF($A$8="NÃO DESONERADO",(IF(A3107="SINAPI",VLOOKUP(B3107,#REF!,3,0),IF(A3107="SUDECAP",VLOOKUP(B3107,#REF!,4,0),IF(A3107="SETOP",VLOOKUP(B3107,#REF!,3,0),IF(A3107="COTAÇÃO",VLOOKUP(B3107,'Mapa Cotações'!$A:$N,3,0)))))),(IF(A3107="SINAPI",VLOOKUP(B3107,#REF!,3,0),IF(A3107="SUDECAP",VLOOKUP(B3107,#REF!,4,0),IF(A3107="SETOP",VLOOKUP(B3107,#REF!,3,0),IF(A3107="COTAÇÃO",VLOOKUP(B3107,'Mapa Cotações'!$A:$N,3,0))))))))</f>
        <v/>
      </c>
      <c r="E3107" s="88"/>
      <c r="F3107" s="89" t="str">
        <f>IF(B3107="","",IF($A$8="NÃO DESONERADO",(IF(A3107="SINAPI",VLOOKUP(B3107,#REF!,4,0),IF(A3107="SUDECAP",VLOOKUP(B3107,#REF!,5,0),IF(A3107="SETOP",VLOOKUP(B3107,#REF!,4,0),IF(A3107="COTAÇÃO",VLOOKUP(B3107,'Mapa Cotações'!$A:$N,13,0)))))),(IF(A3107="SINAPI",VLOOKUP(B3107,#REF!,4,0),IF(A3107="SUDECAP",VLOOKUP(B3107,#REF!,5,0),IF(A3107="SETOP",VLOOKUP(B3107,#REF!,4,0),IF(A3107="COTAÇÃO",VLOOKUP(B3107,'Mapa Cotações'!$A:$N,13,0))))))))</f>
        <v/>
      </c>
      <c r="G3107" s="89" t="str">
        <f>IF(D3107="","",E3107*F3107)</f>
        <v/>
      </c>
    </row>
    <row r="3108" spans="1:11">
      <c r="A3108" s="87"/>
      <c r="B3108" s="87"/>
      <c r="C3108" s="278" t="str">
        <f>IF(B3108="","",IF($A$8="NÃO DESONERADO",(IF(A3108="SINAPI",VLOOKUP(B3108,#REF!,2,0),IF(A3108="SUDECAP",VLOOKUP(B3108,#REF!,3,0),IF(A3108="SETOP",VLOOKUP(B3108,#REF!,2,0),IF(A3108="COTAÇÃO",VLOOKUP(B3108,'Mapa Cotações'!$A:$N,2,0)))))),(IF(A3108="SINAPI",VLOOKUP(B3108,#REF!,2,0),IF(A3108="SUDECAP",VLOOKUP(B3108,#REF!,3,0),IF(A3108="SETOP",VLOOKUP(B3108,#REF!,2,0),IF(A3108="COTAÇÃO",VLOOKUP(B3108,'Mapa Cotações'!$A:$N,2,0))))))))</f>
        <v/>
      </c>
      <c r="D3108" s="89" t="str">
        <f>IF(B3108="","",IF($A$8="NÃO DESONERADO",(IF(A3108="SINAPI",VLOOKUP(B3108,#REF!,3,0),IF(A3108="SUDECAP",VLOOKUP(B3108,#REF!,4,0),IF(A3108="SETOP",VLOOKUP(B3108,#REF!,3,0),IF(A3108="COTAÇÃO",VLOOKUP(B3108,'Mapa Cotações'!$A:$N,3,0)))))),(IF(A3108="SINAPI",VLOOKUP(B3108,#REF!,3,0),IF(A3108="SUDECAP",VLOOKUP(B3108,#REF!,4,0),IF(A3108="SETOP",VLOOKUP(B3108,#REF!,3,0),IF(A3108="COTAÇÃO",VLOOKUP(B3108,'Mapa Cotações'!$A:$N,3,0))))))))</f>
        <v/>
      </c>
      <c r="E3108" s="88"/>
      <c r="F3108" s="89" t="str">
        <f>IF(B3108="","",IF($A$8="NÃO DESONERADO",(IF(A3108="SINAPI",VLOOKUP(B3108,#REF!,4,0),IF(A3108="SUDECAP",VLOOKUP(B3108,#REF!,5,0),IF(A3108="SETOP",VLOOKUP(B3108,#REF!,4,0),IF(A3108="COTAÇÃO",VLOOKUP(B3108,'Mapa Cotações'!$A:$N,13,0)))))),(IF(A3108="SINAPI",VLOOKUP(B3108,#REF!,4,0),IF(A3108="SUDECAP",VLOOKUP(B3108,#REF!,5,0),IF(A3108="SETOP",VLOOKUP(B3108,#REF!,4,0),IF(A3108="COTAÇÃO",VLOOKUP(B3108,'Mapa Cotações'!$A:$N,13,0))))))))</f>
        <v/>
      </c>
      <c r="G3108" s="89" t="str">
        <f>IF(D3108="","",E3108*F3108)</f>
        <v/>
      </c>
    </row>
    <row r="3109" spans="1:11">
      <c r="A3109" s="832" t="s">
        <v>1908</v>
      </c>
      <c r="B3109" s="833" t="s">
        <v>1908</v>
      </c>
      <c r="C3109" s="833"/>
      <c r="D3109" s="833"/>
      <c r="E3109" s="833"/>
      <c r="F3109" s="834"/>
      <c r="G3109" s="90" t="str">
        <f>IF(F3107="","",(SUM(G3107:G3108)))</f>
        <v/>
      </c>
    </row>
    <row r="3110" spans="1:11" ht="13.5" thickBot="1">
      <c r="A3110" s="91"/>
      <c r="B3110" s="92"/>
      <c r="C3110" s="163"/>
      <c r="D3110" s="99"/>
      <c r="E3110" s="100"/>
      <c r="F3110" s="101"/>
      <c r="G3110" s="102"/>
    </row>
    <row r="3111" spans="1:11" ht="13.5" thickBot="1">
      <c r="A3111" s="838" t="s">
        <v>1259</v>
      </c>
      <c r="B3111" s="839"/>
      <c r="C3111" s="839"/>
      <c r="D3111" s="839"/>
      <c r="E3111" s="839"/>
      <c r="F3111" s="840"/>
      <c r="G3111" s="103">
        <f>SUM(G3097,G3103,G3109)</f>
        <v>5145.7197999999999</v>
      </c>
    </row>
    <row r="3114" spans="1:11">
      <c r="A3114" s="237" t="s">
        <v>131</v>
      </c>
      <c r="B3114" s="190" t="s">
        <v>27</v>
      </c>
      <c r="C3114" s="841" t="s">
        <v>1281</v>
      </c>
      <c r="D3114" s="841"/>
      <c r="E3114" s="841"/>
      <c r="F3114" s="841"/>
      <c r="G3114" s="81" t="s">
        <v>127</v>
      </c>
      <c r="I3114" s="480" t="s">
        <v>1901</v>
      </c>
      <c r="J3114" s="80"/>
      <c r="K3114" s="80"/>
    </row>
    <row r="3115" spans="1:11" ht="50.1" customHeight="1">
      <c r="A3115" s="179" t="s">
        <v>733</v>
      </c>
      <c r="B3115" s="82"/>
      <c r="C3115" s="830" t="s">
        <v>734</v>
      </c>
      <c r="D3115" s="831"/>
      <c r="E3115" s="831"/>
      <c r="F3115" s="186">
        <f>G3134</f>
        <v>1122.45056</v>
      </c>
      <c r="G3115" s="83" t="s">
        <v>167</v>
      </c>
      <c r="I3115" s="481"/>
      <c r="J3115" s="272"/>
      <c r="K3115" s="272"/>
    </row>
    <row r="3116" spans="1:11">
      <c r="A3116" s="818" t="s">
        <v>1902</v>
      </c>
      <c r="B3116" s="819"/>
      <c r="C3116" s="819"/>
      <c r="D3116" s="819"/>
      <c r="E3116" s="819"/>
      <c r="F3116" s="819"/>
      <c r="G3116" s="820"/>
    </row>
    <row r="3117" spans="1:11">
      <c r="A3117" s="84" t="s">
        <v>1903</v>
      </c>
      <c r="B3117" s="84" t="s">
        <v>131</v>
      </c>
      <c r="C3117" s="160" t="s">
        <v>1904</v>
      </c>
      <c r="D3117" s="84" t="s">
        <v>167</v>
      </c>
      <c r="E3117" s="85" t="s">
        <v>1905</v>
      </c>
      <c r="F3117" s="86" t="s">
        <v>1906</v>
      </c>
      <c r="G3117" s="86" t="s">
        <v>1907</v>
      </c>
    </row>
    <row r="3118" spans="1:11" ht="24">
      <c r="A3118" s="87" t="s">
        <v>1917</v>
      </c>
      <c r="B3118" s="87" t="s">
        <v>2085</v>
      </c>
      <c r="C3118" s="278" t="str">
        <f>IF(B3118="","",IF($A$8="NÃO DESONERADO",(IF(A3118="SINAPI",VLOOKUP(B3118,#REF!,2,0),IF(A3118="SUDECAP",VLOOKUP(B3118,#REF!,3,0),IF(A3118="SETOP",VLOOKUP(B3118,#REF!,2,0),IF(A3118="COTAÇÃO",VLOOKUP(B3118,'Mapa Cotações'!$A:$N,2,0)))))),(IF(A3118="SINAPI",VLOOKUP(B3118,#REF!,2,0),IF(A3118="SUDECAP",VLOOKUP(B3118,#REF!,3,0),IF(A3118="SETOP",VLOOKUP(B3118,#REF!,2,0),IF(A3118="COTAÇÃO",VLOOKUP(B3118,'Mapa Cotações'!$A:$N,2,0))))))))</f>
        <v>VÁLVULA PARA BALANCEAMENTO E BLOQUEIO MODELO STAD Ø=32", REF.:TOUR ANDERSON OU EQUIVALENTE</v>
      </c>
      <c r="D3118" s="89" t="str">
        <f>IF(B3118="","",IF($A$8="NÃO DESONERADO",(IF(A3118="SINAPI",VLOOKUP(B3118,#REF!,3,0),IF(A3118="SUDECAP",VLOOKUP(B3118,#REF!,4,0),IF(A3118="SETOP",VLOOKUP(B3118,#REF!,3,0),IF(A3118="COTAÇÃO",VLOOKUP(B3118,'Mapa Cotações'!$A:$N,3,0)))))),(IF(A3118="SINAPI",VLOOKUP(B3118,#REF!,3,0),IF(A3118="SUDECAP",VLOOKUP(B3118,#REF!,4,0),IF(A3118="SETOP",VLOOKUP(B3118,#REF!,3,0),IF(A3118="COTAÇÃO",VLOOKUP(B3118,'Mapa Cotações'!$A:$N,3,0))))))))</f>
        <v>UN</v>
      </c>
      <c r="E3118" s="88">
        <v>1</v>
      </c>
      <c r="F3118" s="89">
        <f>IF(B3118="","",IF($A$8="NÃO DESONERADO",(IF(A3118="SINAPI",VLOOKUP(B3118,#REF!,4,0),IF(A3118="SUDECAP",VLOOKUP(B3118,#REF!,5,0),IF(A3118="SETOP",VLOOKUP(B3118,#REF!,4,0),IF(A3118="COTAÇÃO",VLOOKUP(B3118,'Mapa Cotações'!$A:$N,13,0)))))),(IF(A3118="SINAPI",VLOOKUP(B3118,#REF!,4,0),IF(A3118="SUDECAP",VLOOKUP(B3118,#REF!,5,0),IF(A3118="SETOP",VLOOKUP(B3118,#REF!,4,0),IF(A3118="COTAÇÃO",VLOOKUP(B3118,'Mapa Cotações'!$A:$N,13,0))))))))</f>
        <v>895.4</v>
      </c>
      <c r="G3118" s="89">
        <f>IF(D3118="","",E3118*F3118)</f>
        <v>895.4</v>
      </c>
    </row>
    <row r="3119" spans="1:11">
      <c r="A3119" s="87"/>
      <c r="B3119" s="87"/>
      <c r="C3119" s="278" t="str">
        <f>IF(B3119="","",IF($A$8="NÃO DESONERADO",(IF(A3119="SINAPI",VLOOKUP(B3119,#REF!,2,0),IF(A3119="SUDECAP",VLOOKUP(B3119,#REF!,3,0),IF(A3119="SETOP",VLOOKUP(B3119,#REF!,2,0),IF(A3119="COTAÇÃO",VLOOKUP(B3119,'Mapa Cotações'!$A:$N,2,0)))))),(IF(A3119="SINAPI",VLOOKUP(B3119,#REF!,2,0),IF(A3119="SUDECAP",VLOOKUP(B3119,#REF!,3,0),IF(A3119="SETOP",VLOOKUP(B3119,#REF!,2,0),IF(A3119="COTAÇÃO",VLOOKUP(B3119,'Mapa Cotações'!$A:$N,2,0))))))))</f>
        <v/>
      </c>
      <c r="D3119" s="89" t="str">
        <f>IF(B3119="","",IF($A$8="NÃO DESONERADO",(IF(A3119="SINAPI",VLOOKUP(B3119,#REF!,3,0),IF(A3119="SUDECAP",VLOOKUP(B3119,#REF!,4,0),IF(A3119="SETOP",VLOOKUP(B3119,#REF!,3,0),IF(A3119="COTAÇÃO",VLOOKUP(B3119,'Mapa Cotações'!$A:$N,3,0)))))),(IF(A3119="SINAPI",VLOOKUP(B3119,#REF!,3,0),IF(A3119="SUDECAP",VLOOKUP(B3119,#REF!,4,0),IF(A3119="SETOP",VLOOKUP(B3119,#REF!,3,0),IF(A3119="COTAÇÃO",VLOOKUP(B3119,'Mapa Cotações'!$A:$N,3,0))))))))</f>
        <v/>
      </c>
      <c r="E3119" s="88"/>
      <c r="F3119" s="89" t="str">
        <f>IF(B3119="","",IF($A$8="NÃO DESONERADO",(IF(A3119="SINAPI",VLOOKUP(B3119,#REF!,4,0),IF(A3119="SUDECAP",VLOOKUP(B3119,#REF!,5,0),IF(A3119="SETOP",VLOOKUP(B3119,#REF!,4,0),IF(A3119="COTAÇÃO",VLOOKUP(B3119,'Mapa Cotações'!$A:$N,13,0)))))),(IF(A3119="SINAPI",VLOOKUP(B3119,#REF!,4,0),IF(A3119="SUDECAP",VLOOKUP(B3119,#REF!,5,0),IF(A3119="SETOP",VLOOKUP(B3119,#REF!,4,0),IF(A3119="COTAÇÃO",VLOOKUP(B3119,'Mapa Cotações'!$A:$N,13,0))))))))</f>
        <v/>
      </c>
      <c r="G3119" s="89" t="str">
        <f>IF(D3119="","",E3119*F3119)</f>
        <v/>
      </c>
    </row>
    <row r="3120" spans="1:11">
      <c r="A3120" s="832" t="s">
        <v>1908</v>
      </c>
      <c r="B3120" s="833"/>
      <c r="C3120" s="833"/>
      <c r="D3120" s="833"/>
      <c r="E3120" s="833"/>
      <c r="F3120" s="834"/>
      <c r="G3120" s="90">
        <f>IF(F3118="","",(SUM(G3118:G3119)))</f>
        <v>895.4</v>
      </c>
    </row>
    <row r="3121" spans="1:7">
      <c r="A3121" s="91"/>
      <c r="B3121" s="92"/>
      <c r="C3121" s="161"/>
      <c r="D3121" s="93"/>
      <c r="E3121" s="94"/>
      <c r="F3121" s="95"/>
      <c r="G3121" s="96"/>
    </row>
    <row r="3122" spans="1:7">
      <c r="A3122" s="835" t="s">
        <v>1909</v>
      </c>
      <c r="B3122" s="836"/>
      <c r="C3122" s="836"/>
      <c r="D3122" s="836"/>
      <c r="E3122" s="836"/>
      <c r="F3122" s="836"/>
      <c r="G3122" s="837"/>
    </row>
    <row r="3123" spans="1:7">
      <c r="A3123" s="84" t="s">
        <v>1903</v>
      </c>
      <c r="B3123" s="84" t="s">
        <v>131</v>
      </c>
      <c r="C3123" s="160" t="s">
        <v>1904</v>
      </c>
      <c r="D3123" s="84" t="s">
        <v>167</v>
      </c>
      <c r="E3123" s="85" t="s">
        <v>1905</v>
      </c>
      <c r="F3123" s="86" t="s">
        <v>1906</v>
      </c>
      <c r="G3123" s="86" t="s">
        <v>1907</v>
      </c>
    </row>
    <row r="3124" spans="1:7" ht="24">
      <c r="A3124" s="87" t="s">
        <v>2</v>
      </c>
      <c r="B3124" s="87">
        <v>88248</v>
      </c>
      <c r="C3124" s="278" t="s">
        <v>1947</v>
      </c>
      <c r="D3124" s="89" t="s">
        <v>137</v>
      </c>
      <c r="E3124" s="88">
        <f>0.1485*32</f>
        <v>4.7519999999999998</v>
      </c>
      <c r="F3124" s="89">
        <v>21.45</v>
      </c>
      <c r="G3124" s="89">
        <f t="shared" ref="G3124:G3125" si="45">F3124*E3124</f>
        <v>101.93039999999999</v>
      </c>
    </row>
    <row r="3125" spans="1:7" ht="24">
      <c r="A3125" s="87" t="s">
        <v>2</v>
      </c>
      <c r="B3125" s="87">
        <v>88267</v>
      </c>
      <c r="C3125" s="278" t="s">
        <v>1949</v>
      </c>
      <c r="D3125" s="89" t="s">
        <v>137</v>
      </c>
      <c r="E3125" s="88">
        <f>0.1485*32</f>
        <v>4.7519999999999998</v>
      </c>
      <c r="F3125" s="89">
        <v>26.33</v>
      </c>
      <c r="G3125" s="89">
        <f t="shared" si="45"/>
        <v>125.12015999999998</v>
      </c>
    </row>
    <row r="3126" spans="1:7">
      <c r="A3126" s="832" t="s">
        <v>1908</v>
      </c>
      <c r="B3126" s="833"/>
      <c r="C3126" s="833"/>
      <c r="D3126" s="833"/>
      <c r="E3126" s="833"/>
      <c r="F3126" s="834"/>
      <c r="G3126" s="90">
        <f>IF(F3124="","",(SUM(G3124:G3125)))</f>
        <v>227.05055999999996</v>
      </c>
    </row>
    <row r="3127" spans="1:7">
      <c r="A3127" s="91"/>
      <c r="B3127" s="92"/>
      <c r="C3127" s="162"/>
      <c r="D3127" s="92"/>
      <c r="E3127" s="97"/>
      <c r="F3127" s="98"/>
      <c r="G3127" s="96"/>
    </row>
    <row r="3128" spans="1:7">
      <c r="A3128" s="835" t="s">
        <v>1912</v>
      </c>
      <c r="B3128" s="836"/>
      <c r="C3128" s="836"/>
      <c r="D3128" s="836"/>
      <c r="E3128" s="836"/>
      <c r="F3128" s="836"/>
      <c r="G3128" s="837"/>
    </row>
    <row r="3129" spans="1:7">
      <c r="A3129" s="84" t="s">
        <v>1903</v>
      </c>
      <c r="B3129" s="84" t="s">
        <v>131</v>
      </c>
      <c r="C3129" s="160" t="s">
        <v>1904</v>
      </c>
      <c r="D3129" s="84" t="s">
        <v>167</v>
      </c>
      <c r="E3129" s="85" t="s">
        <v>1905</v>
      </c>
      <c r="F3129" s="86" t="s">
        <v>1906</v>
      </c>
      <c r="G3129" s="86" t="s">
        <v>1907</v>
      </c>
    </row>
    <row r="3130" spans="1:7">
      <c r="A3130" s="87"/>
      <c r="B3130" s="87"/>
      <c r="C3130" s="278" t="str">
        <f>IF(B3130="","",IF($A$8="NÃO DESONERADO",(IF(A3130="SINAPI",VLOOKUP(B3130,#REF!,2,0),IF(A3130="SUDECAP",VLOOKUP(B3130,#REF!,3,0),IF(A3130="SETOP",VLOOKUP(B3130,#REF!,2,0),IF(A3130="COTAÇÃO",VLOOKUP(B3130,'Mapa Cotações'!$A:$N,2,0)))))),(IF(A3130="SINAPI",VLOOKUP(B3130,#REF!,2,0),IF(A3130="SUDECAP",VLOOKUP(B3130,#REF!,3,0),IF(A3130="SETOP",VLOOKUP(B3130,#REF!,2,0),IF(A3130="COTAÇÃO",VLOOKUP(B3130,'Mapa Cotações'!$A:$N,2,0))))))))</f>
        <v/>
      </c>
      <c r="D3130" s="89" t="str">
        <f>IF(B3130="","",IF($A$8="NÃO DESONERADO",(IF(A3130="SINAPI",VLOOKUP(B3130,#REF!,3,0),IF(A3130="SUDECAP",VLOOKUP(B3130,#REF!,4,0),IF(A3130="SETOP",VLOOKUP(B3130,#REF!,3,0),IF(A3130="COTAÇÃO",VLOOKUP(B3130,'Mapa Cotações'!$A:$N,3,0)))))),(IF(A3130="SINAPI",VLOOKUP(B3130,#REF!,3,0),IF(A3130="SUDECAP",VLOOKUP(B3130,#REF!,4,0),IF(A3130="SETOP",VLOOKUP(B3130,#REF!,3,0),IF(A3130="COTAÇÃO",VLOOKUP(B3130,'Mapa Cotações'!$A:$N,3,0))))))))</f>
        <v/>
      </c>
      <c r="E3130" s="88"/>
      <c r="F3130" s="89" t="str">
        <f>IF(B3130="","",IF($A$8="NÃO DESONERADO",(IF(A3130="SINAPI",VLOOKUP(B3130,#REF!,4,0),IF(A3130="SUDECAP",VLOOKUP(B3130,#REF!,5,0),IF(A3130="SETOP",VLOOKUP(B3130,#REF!,4,0),IF(A3130="COTAÇÃO",VLOOKUP(B3130,'Mapa Cotações'!$A:$N,13,0)))))),(IF(A3130="SINAPI",VLOOKUP(B3130,#REF!,4,0),IF(A3130="SUDECAP",VLOOKUP(B3130,#REF!,5,0),IF(A3130="SETOP",VLOOKUP(B3130,#REF!,4,0),IF(A3130="COTAÇÃO",VLOOKUP(B3130,'Mapa Cotações'!$A:$N,13,0))))))))</f>
        <v/>
      </c>
      <c r="G3130" s="89" t="str">
        <f>IF(D3130="","",E3130*F3130)</f>
        <v/>
      </c>
    </row>
    <row r="3131" spans="1:7">
      <c r="A3131" s="87"/>
      <c r="B3131" s="87"/>
      <c r="C3131" s="278" t="str">
        <f>IF(B3131="","",IF($A$8="NÃO DESONERADO",(IF(A3131="SINAPI",VLOOKUP(B3131,#REF!,2,0),IF(A3131="SUDECAP",VLOOKUP(B3131,#REF!,3,0),IF(A3131="SETOP",VLOOKUP(B3131,#REF!,2,0),IF(A3131="COTAÇÃO",VLOOKUP(B3131,'Mapa Cotações'!$A:$N,2,0)))))),(IF(A3131="SINAPI",VLOOKUP(B3131,#REF!,2,0),IF(A3131="SUDECAP",VLOOKUP(B3131,#REF!,3,0),IF(A3131="SETOP",VLOOKUP(B3131,#REF!,2,0),IF(A3131="COTAÇÃO",VLOOKUP(B3131,'Mapa Cotações'!$A:$N,2,0))))))))</f>
        <v/>
      </c>
      <c r="D3131" s="89" t="str">
        <f>IF(B3131="","",IF($A$8="NÃO DESONERADO",(IF(A3131="SINAPI",VLOOKUP(B3131,#REF!,3,0),IF(A3131="SUDECAP",VLOOKUP(B3131,#REF!,4,0),IF(A3131="SETOP",VLOOKUP(B3131,#REF!,3,0),IF(A3131="COTAÇÃO",VLOOKUP(B3131,'Mapa Cotações'!$A:$N,3,0)))))),(IF(A3131="SINAPI",VLOOKUP(B3131,#REF!,3,0),IF(A3131="SUDECAP",VLOOKUP(B3131,#REF!,4,0),IF(A3131="SETOP",VLOOKUP(B3131,#REF!,3,0),IF(A3131="COTAÇÃO",VLOOKUP(B3131,'Mapa Cotações'!$A:$N,3,0))))))))</f>
        <v/>
      </c>
      <c r="E3131" s="88"/>
      <c r="F3131" s="89" t="str">
        <f>IF(B3131="","",IF($A$8="NÃO DESONERADO",(IF(A3131="SINAPI",VLOOKUP(B3131,#REF!,4,0),IF(A3131="SUDECAP",VLOOKUP(B3131,#REF!,5,0),IF(A3131="SETOP",VLOOKUP(B3131,#REF!,4,0),IF(A3131="COTAÇÃO",VLOOKUP(B3131,'Mapa Cotações'!$A:$N,13,0)))))),(IF(A3131="SINAPI",VLOOKUP(B3131,#REF!,4,0),IF(A3131="SUDECAP",VLOOKUP(B3131,#REF!,5,0),IF(A3131="SETOP",VLOOKUP(B3131,#REF!,4,0),IF(A3131="COTAÇÃO",VLOOKUP(B3131,'Mapa Cotações'!$A:$N,13,0))))))))</f>
        <v/>
      </c>
      <c r="G3131" s="89" t="str">
        <f>IF(D3131="","",E3131*F3131)</f>
        <v/>
      </c>
    </row>
    <row r="3132" spans="1:7">
      <c r="A3132" s="832" t="s">
        <v>1908</v>
      </c>
      <c r="B3132" s="833" t="s">
        <v>1908</v>
      </c>
      <c r="C3132" s="833"/>
      <c r="D3132" s="833"/>
      <c r="E3132" s="833"/>
      <c r="F3132" s="834"/>
      <c r="G3132" s="90" t="str">
        <f>IF(F3130="","",(SUM(G3130:G3131)))</f>
        <v/>
      </c>
    </row>
    <row r="3133" spans="1:7" ht="13.5" thickBot="1">
      <c r="A3133" s="91"/>
      <c r="B3133" s="92"/>
      <c r="C3133" s="163"/>
      <c r="D3133" s="99"/>
      <c r="E3133" s="100"/>
      <c r="F3133" s="101"/>
      <c r="G3133" s="102"/>
    </row>
    <row r="3134" spans="1:7" ht="13.5" thickBot="1">
      <c r="A3134" s="838" t="s">
        <v>1259</v>
      </c>
      <c r="B3134" s="839"/>
      <c r="C3134" s="839"/>
      <c r="D3134" s="839"/>
      <c r="E3134" s="839"/>
      <c r="F3134" s="840"/>
      <c r="G3134" s="103">
        <f>SUM(G3120,G3126,G3132)</f>
        <v>1122.45056</v>
      </c>
    </row>
    <row r="3137" spans="1:11">
      <c r="A3137" s="237" t="s">
        <v>131</v>
      </c>
      <c r="B3137" s="190" t="s">
        <v>27</v>
      </c>
      <c r="C3137" s="841" t="s">
        <v>1281</v>
      </c>
      <c r="D3137" s="841"/>
      <c r="E3137" s="841"/>
      <c r="F3137" s="841"/>
      <c r="G3137" s="81" t="s">
        <v>127</v>
      </c>
      <c r="I3137" s="480" t="s">
        <v>1901</v>
      </c>
      <c r="J3137" s="80"/>
      <c r="K3137" s="80"/>
    </row>
    <row r="3138" spans="1:11" ht="50.1" customHeight="1">
      <c r="A3138" s="179" t="s">
        <v>736</v>
      </c>
      <c r="B3138" s="82"/>
      <c r="C3138" s="830" t="s">
        <v>731</v>
      </c>
      <c r="D3138" s="831"/>
      <c r="E3138" s="831"/>
      <c r="F3138" s="186">
        <f>G3157</f>
        <v>5145.7197999999999</v>
      </c>
      <c r="G3138" s="83" t="s">
        <v>167</v>
      </c>
      <c r="I3138" s="481"/>
      <c r="J3138" s="272"/>
      <c r="K3138" s="272"/>
    </row>
    <row r="3139" spans="1:11">
      <c r="A3139" s="818" t="s">
        <v>1902</v>
      </c>
      <c r="B3139" s="819"/>
      <c r="C3139" s="819"/>
      <c r="D3139" s="819"/>
      <c r="E3139" s="819"/>
      <c r="F3139" s="819"/>
      <c r="G3139" s="820"/>
    </row>
    <row r="3140" spans="1:11">
      <c r="A3140" s="84" t="s">
        <v>1903</v>
      </c>
      <c r="B3140" s="84" t="s">
        <v>131</v>
      </c>
      <c r="C3140" s="160" t="s">
        <v>1904</v>
      </c>
      <c r="D3140" s="84" t="s">
        <v>167</v>
      </c>
      <c r="E3140" s="85" t="s">
        <v>1905</v>
      </c>
      <c r="F3140" s="86" t="s">
        <v>1906</v>
      </c>
      <c r="G3140" s="86" t="s">
        <v>1907</v>
      </c>
    </row>
    <row r="3141" spans="1:11" ht="24">
      <c r="A3141" s="87" t="s">
        <v>1917</v>
      </c>
      <c r="B3141" s="87" t="s">
        <v>2086</v>
      </c>
      <c r="C3141" s="278" t="str">
        <f>IF(B3141="","",IF($A$8="NÃO DESONERADO",(IF(A3141="SINAPI",VLOOKUP(B3141,#REF!,2,0),IF(A3141="SUDECAP",VLOOKUP(B3141,#REF!,3,0),IF(A3141="SETOP",VLOOKUP(B3141,#REF!,2,0),IF(A3141="COTAÇÃO",VLOOKUP(B3141,'Mapa Cotações'!$A:$N,2,0)))))),(IF(A3141="SINAPI",VLOOKUP(B3141,#REF!,2,0),IF(A3141="SUDECAP",VLOOKUP(B3141,#REF!,3,0),IF(A3141="SETOP",VLOOKUP(B3141,#REF!,2,0),IF(A3141="COTAÇÃO",VLOOKUP(B3141,'Mapa Cotações'!$A:$N,2,0))))))))</f>
        <v>VÁLVULA PARA BALANCEAMENTO E BLOQUEIO MODELO STAD Ø=60", REF.:TOUR ANDERSON OU EQUIVALENTE</v>
      </c>
      <c r="D3141" s="89" t="str">
        <f>IF(B3141="","",IF($A$8="NÃO DESONERADO",(IF(A3141="SINAPI",VLOOKUP(B3141,#REF!,3,0),IF(A3141="SUDECAP",VLOOKUP(B3141,#REF!,4,0),IF(A3141="SETOP",VLOOKUP(B3141,#REF!,3,0),IF(A3141="COTAÇÃO",VLOOKUP(B3141,'Mapa Cotações'!$A:$N,3,0)))))),(IF(A3141="SINAPI",VLOOKUP(B3141,#REF!,3,0),IF(A3141="SUDECAP",VLOOKUP(B3141,#REF!,4,0),IF(A3141="SETOP",VLOOKUP(B3141,#REF!,3,0),IF(A3141="COTAÇÃO",VLOOKUP(B3141,'Mapa Cotações'!$A:$N,3,0))))))))</f>
        <v>UN</v>
      </c>
      <c r="E3141" s="88">
        <v>1</v>
      </c>
      <c r="F3141" s="89">
        <f>IF(B3141="","",IF($A$8="NÃO DESONERADO",(IF(A3141="SINAPI",VLOOKUP(B3141,#REF!,4,0),IF(A3141="SUDECAP",VLOOKUP(B3141,#REF!,5,0),IF(A3141="SETOP",VLOOKUP(B3141,#REF!,4,0),IF(A3141="COTAÇÃO",VLOOKUP(B3141,'Mapa Cotações'!$A:$N,13,0)))))),(IF(A3141="SINAPI",VLOOKUP(B3141,#REF!,4,0),IF(A3141="SUDECAP",VLOOKUP(B3141,#REF!,5,0),IF(A3141="SETOP",VLOOKUP(B3141,#REF!,4,0),IF(A3141="COTAÇÃO",VLOOKUP(B3141,'Mapa Cotações'!$A:$N,13,0))))))))</f>
        <v>4720</v>
      </c>
      <c r="G3141" s="89">
        <f>IF(D3141="","",E3141*F3141)</f>
        <v>4720</v>
      </c>
    </row>
    <row r="3142" spans="1:11">
      <c r="A3142" s="87"/>
      <c r="B3142" s="87"/>
      <c r="C3142" s="278" t="str">
        <f>IF(B3142="","",IF($A$8="NÃO DESONERADO",(IF(A3142="SINAPI",VLOOKUP(B3142,#REF!,2,0),IF(A3142="SUDECAP",VLOOKUP(B3142,#REF!,3,0),IF(A3142="SETOP",VLOOKUP(B3142,#REF!,2,0),IF(A3142="COTAÇÃO",VLOOKUP(B3142,'Mapa Cotações'!$A:$N,2,0)))))),(IF(A3142="SINAPI",VLOOKUP(B3142,#REF!,2,0),IF(A3142="SUDECAP",VLOOKUP(B3142,#REF!,3,0),IF(A3142="SETOP",VLOOKUP(B3142,#REF!,2,0),IF(A3142="COTAÇÃO",VLOOKUP(B3142,'Mapa Cotações'!$A:$N,2,0))))))))</f>
        <v/>
      </c>
      <c r="D3142" s="89" t="str">
        <f>IF(B3142="","",IF($A$8="NÃO DESONERADO",(IF(A3142="SINAPI",VLOOKUP(B3142,#REF!,3,0),IF(A3142="SUDECAP",VLOOKUP(B3142,#REF!,4,0),IF(A3142="SETOP",VLOOKUP(B3142,#REF!,3,0),IF(A3142="COTAÇÃO",VLOOKUP(B3142,'Mapa Cotações'!$A:$N,3,0)))))),(IF(A3142="SINAPI",VLOOKUP(B3142,#REF!,3,0),IF(A3142="SUDECAP",VLOOKUP(B3142,#REF!,4,0),IF(A3142="SETOP",VLOOKUP(B3142,#REF!,3,0),IF(A3142="COTAÇÃO",VLOOKUP(B3142,'Mapa Cotações'!$A:$N,3,0))))))))</f>
        <v/>
      </c>
      <c r="E3142" s="88"/>
      <c r="F3142" s="89" t="str">
        <f>IF(B3142="","",IF($A$8="NÃO DESONERADO",(IF(A3142="SINAPI",VLOOKUP(B3142,#REF!,4,0),IF(A3142="SUDECAP",VLOOKUP(B3142,#REF!,5,0),IF(A3142="SETOP",VLOOKUP(B3142,#REF!,4,0),IF(A3142="COTAÇÃO",VLOOKUP(B3142,'Mapa Cotações'!$A:$N,13,0)))))),(IF(A3142="SINAPI",VLOOKUP(B3142,#REF!,4,0),IF(A3142="SUDECAP",VLOOKUP(B3142,#REF!,5,0),IF(A3142="SETOP",VLOOKUP(B3142,#REF!,4,0),IF(A3142="COTAÇÃO",VLOOKUP(B3142,'Mapa Cotações'!$A:$N,13,0))))))))</f>
        <v/>
      </c>
      <c r="G3142" s="89" t="str">
        <f>IF(D3142="","",E3142*F3142)</f>
        <v/>
      </c>
    </row>
    <row r="3143" spans="1:11">
      <c r="A3143" s="832" t="s">
        <v>1908</v>
      </c>
      <c r="B3143" s="833"/>
      <c r="C3143" s="833"/>
      <c r="D3143" s="833"/>
      <c r="E3143" s="833"/>
      <c r="F3143" s="834"/>
      <c r="G3143" s="90">
        <f>IF(F3141="","",(SUM(G3141:G3142)))</f>
        <v>4720</v>
      </c>
    </row>
    <row r="3144" spans="1:11">
      <c r="A3144" s="91"/>
      <c r="B3144" s="92"/>
      <c r="C3144" s="161"/>
      <c r="D3144" s="93"/>
      <c r="E3144" s="94"/>
      <c r="F3144" s="95"/>
      <c r="G3144" s="96"/>
    </row>
    <row r="3145" spans="1:11">
      <c r="A3145" s="835" t="s">
        <v>1909</v>
      </c>
      <c r="B3145" s="836"/>
      <c r="C3145" s="836"/>
      <c r="D3145" s="836"/>
      <c r="E3145" s="836"/>
      <c r="F3145" s="836"/>
      <c r="G3145" s="837"/>
    </row>
    <row r="3146" spans="1:11">
      <c r="A3146" s="84" t="s">
        <v>1903</v>
      </c>
      <c r="B3146" s="84" t="s">
        <v>131</v>
      </c>
      <c r="C3146" s="160" t="s">
        <v>1904</v>
      </c>
      <c r="D3146" s="84" t="s">
        <v>167</v>
      </c>
      <c r="E3146" s="85" t="s">
        <v>1905</v>
      </c>
      <c r="F3146" s="86" t="s">
        <v>1906</v>
      </c>
      <c r="G3146" s="86" t="s">
        <v>1907</v>
      </c>
    </row>
    <row r="3147" spans="1:11" ht="24">
      <c r="A3147" s="87" t="s">
        <v>2</v>
      </c>
      <c r="B3147" s="87">
        <v>88248</v>
      </c>
      <c r="C3147" s="278" t="s">
        <v>1947</v>
      </c>
      <c r="D3147" s="89" t="s">
        <v>2087</v>
      </c>
      <c r="E3147" s="88">
        <f>0.1485*60</f>
        <v>8.91</v>
      </c>
      <c r="F3147" s="89">
        <v>21.45</v>
      </c>
      <c r="G3147" s="89">
        <f t="shared" ref="G3147:G3148" si="46">F3147*E3147</f>
        <v>191.11949999999999</v>
      </c>
    </row>
    <row r="3148" spans="1:11" ht="24">
      <c r="A3148" s="87" t="s">
        <v>2</v>
      </c>
      <c r="B3148" s="87">
        <v>88267</v>
      </c>
      <c r="C3148" s="278" t="s">
        <v>1949</v>
      </c>
      <c r="D3148" s="89" t="s">
        <v>2087</v>
      </c>
      <c r="E3148" s="88">
        <f>0.1485*60</f>
        <v>8.91</v>
      </c>
      <c r="F3148" s="89">
        <v>26.33</v>
      </c>
      <c r="G3148" s="89">
        <f t="shared" si="46"/>
        <v>234.60029999999998</v>
      </c>
    </row>
    <row r="3149" spans="1:11">
      <c r="A3149" s="832" t="s">
        <v>1908</v>
      </c>
      <c r="B3149" s="833"/>
      <c r="C3149" s="833"/>
      <c r="D3149" s="833"/>
      <c r="E3149" s="833"/>
      <c r="F3149" s="834"/>
      <c r="G3149" s="90">
        <f>IF(F3147="","",(SUM(G3147:G3148)))</f>
        <v>425.71979999999996</v>
      </c>
    </row>
    <row r="3150" spans="1:11">
      <c r="A3150" s="91"/>
      <c r="B3150" s="92"/>
      <c r="C3150" s="162"/>
      <c r="D3150" s="92"/>
      <c r="E3150" s="97"/>
      <c r="F3150" s="98"/>
      <c r="G3150" s="96"/>
    </row>
    <row r="3151" spans="1:11">
      <c r="A3151" s="835" t="s">
        <v>1912</v>
      </c>
      <c r="B3151" s="836"/>
      <c r="C3151" s="836"/>
      <c r="D3151" s="836"/>
      <c r="E3151" s="836"/>
      <c r="F3151" s="836"/>
      <c r="G3151" s="837"/>
    </row>
    <row r="3152" spans="1:11">
      <c r="A3152" s="84" t="s">
        <v>1903</v>
      </c>
      <c r="B3152" s="84" t="s">
        <v>131</v>
      </c>
      <c r="C3152" s="160" t="s">
        <v>1904</v>
      </c>
      <c r="D3152" s="84" t="s">
        <v>167</v>
      </c>
      <c r="E3152" s="85" t="s">
        <v>1905</v>
      </c>
      <c r="F3152" s="86" t="s">
        <v>1906</v>
      </c>
      <c r="G3152" s="86" t="s">
        <v>1907</v>
      </c>
    </row>
    <row r="3153" spans="1:11">
      <c r="A3153" s="87"/>
      <c r="B3153" s="87"/>
      <c r="C3153" s="278" t="str">
        <f>IF(B3153="","",IF($A$8="NÃO DESONERADO",(IF(A3153="SINAPI",VLOOKUP(B3153,#REF!,2,0),IF(A3153="SUDECAP",VLOOKUP(B3153,#REF!,3,0),IF(A3153="SETOP",VLOOKUP(B3153,#REF!,2,0),IF(A3153="COTAÇÃO",VLOOKUP(B3153,'Mapa Cotações'!$A:$N,2,0)))))),(IF(A3153="SINAPI",VLOOKUP(B3153,#REF!,2,0),IF(A3153="SUDECAP",VLOOKUP(B3153,#REF!,3,0),IF(A3153="SETOP",VLOOKUP(B3153,#REF!,2,0),IF(A3153="COTAÇÃO",VLOOKUP(B3153,'Mapa Cotações'!$A:$N,2,0))))))))</f>
        <v/>
      </c>
      <c r="D3153" s="89" t="str">
        <f>IF(B3153="","",IF($A$8="NÃO DESONERADO",(IF(A3153="SINAPI",VLOOKUP(B3153,#REF!,3,0),IF(A3153="SUDECAP",VLOOKUP(B3153,#REF!,4,0),IF(A3153="SETOP",VLOOKUP(B3153,#REF!,3,0),IF(A3153="COTAÇÃO",VLOOKUP(B3153,'Mapa Cotações'!$A:$N,3,0)))))),(IF(A3153="SINAPI",VLOOKUP(B3153,#REF!,3,0),IF(A3153="SUDECAP",VLOOKUP(B3153,#REF!,4,0),IF(A3153="SETOP",VLOOKUP(B3153,#REF!,3,0),IF(A3153="COTAÇÃO",VLOOKUP(B3153,'Mapa Cotações'!$A:$N,3,0))))))))</f>
        <v/>
      </c>
      <c r="E3153" s="88"/>
      <c r="F3153" s="89" t="str">
        <f>IF(B3153="","",IF($A$8="NÃO DESONERADO",(IF(A3153="SINAPI",VLOOKUP(B3153,#REF!,4,0),IF(A3153="SUDECAP",VLOOKUP(B3153,#REF!,5,0),IF(A3153="SETOP",VLOOKUP(B3153,#REF!,4,0),IF(A3153="COTAÇÃO",VLOOKUP(B3153,'Mapa Cotações'!$A:$N,13,0)))))),(IF(A3153="SINAPI",VLOOKUP(B3153,#REF!,4,0),IF(A3153="SUDECAP",VLOOKUP(B3153,#REF!,5,0),IF(A3153="SETOP",VLOOKUP(B3153,#REF!,4,0),IF(A3153="COTAÇÃO",VLOOKUP(B3153,'Mapa Cotações'!$A:$N,13,0))))))))</f>
        <v/>
      </c>
      <c r="G3153" s="89" t="str">
        <f>IF(D3153="","",E3153*F3153)</f>
        <v/>
      </c>
    </row>
    <row r="3154" spans="1:11">
      <c r="A3154" s="87"/>
      <c r="B3154" s="87"/>
      <c r="C3154" s="278" t="str">
        <f>IF(B3154="","",IF($A$8="NÃO DESONERADO",(IF(A3154="SINAPI",VLOOKUP(B3154,#REF!,2,0),IF(A3154="SUDECAP",VLOOKUP(B3154,#REF!,3,0),IF(A3154="SETOP",VLOOKUP(B3154,#REF!,2,0),IF(A3154="COTAÇÃO",VLOOKUP(B3154,'Mapa Cotações'!$A:$N,2,0)))))),(IF(A3154="SINAPI",VLOOKUP(B3154,#REF!,2,0),IF(A3154="SUDECAP",VLOOKUP(B3154,#REF!,3,0),IF(A3154="SETOP",VLOOKUP(B3154,#REF!,2,0),IF(A3154="COTAÇÃO",VLOOKUP(B3154,'Mapa Cotações'!$A:$N,2,0))))))))</f>
        <v/>
      </c>
      <c r="D3154" s="89" t="str">
        <f>IF(B3154="","",IF($A$8="NÃO DESONERADO",(IF(A3154="SINAPI",VLOOKUP(B3154,#REF!,3,0),IF(A3154="SUDECAP",VLOOKUP(B3154,#REF!,4,0),IF(A3154="SETOP",VLOOKUP(B3154,#REF!,3,0),IF(A3154="COTAÇÃO",VLOOKUP(B3154,'Mapa Cotações'!$A:$N,3,0)))))),(IF(A3154="SINAPI",VLOOKUP(B3154,#REF!,3,0),IF(A3154="SUDECAP",VLOOKUP(B3154,#REF!,4,0),IF(A3154="SETOP",VLOOKUP(B3154,#REF!,3,0),IF(A3154="COTAÇÃO",VLOOKUP(B3154,'Mapa Cotações'!$A:$N,3,0))))))))</f>
        <v/>
      </c>
      <c r="E3154" s="88"/>
      <c r="F3154" s="89" t="str">
        <f>IF(B3154="","",IF($A$8="NÃO DESONERADO",(IF(A3154="SINAPI",VLOOKUP(B3154,#REF!,4,0),IF(A3154="SUDECAP",VLOOKUP(B3154,#REF!,5,0),IF(A3154="SETOP",VLOOKUP(B3154,#REF!,4,0),IF(A3154="COTAÇÃO",VLOOKUP(B3154,'Mapa Cotações'!$A:$N,13,0)))))),(IF(A3154="SINAPI",VLOOKUP(B3154,#REF!,4,0),IF(A3154="SUDECAP",VLOOKUP(B3154,#REF!,5,0),IF(A3154="SETOP",VLOOKUP(B3154,#REF!,4,0),IF(A3154="COTAÇÃO",VLOOKUP(B3154,'Mapa Cotações'!$A:$N,13,0))))))))</f>
        <v/>
      </c>
      <c r="G3154" s="89" t="str">
        <f>IF(D3154="","",E3154*F3154)</f>
        <v/>
      </c>
    </row>
    <row r="3155" spans="1:11">
      <c r="A3155" s="832" t="s">
        <v>1908</v>
      </c>
      <c r="B3155" s="833" t="s">
        <v>1908</v>
      </c>
      <c r="C3155" s="833"/>
      <c r="D3155" s="833"/>
      <c r="E3155" s="833"/>
      <c r="F3155" s="834"/>
      <c r="G3155" s="90" t="str">
        <f>IF(F3153="","",(SUM(G3153:G3154)))</f>
        <v/>
      </c>
    </row>
    <row r="3156" spans="1:11" ht="13.5" thickBot="1">
      <c r="A3156" s="91"/>
      <c r="B3156" s="92"/>
      <c r="C3156" s="163"/>
      <c r="D3156" s="99"/>
      <c r="E3156" s="100"/>
      <c r="F3156" s="101"/>
      <c r="G3156" s="102"/>
    </row>
    <row r="3157" spans="1:11" ht="13.5" thickBot="1">
      <c r="A3157" s="838" t="s">
        <v>1259</v>
      </c>
      <c r="B3157" s="839"/>
      <c r="C3157" s="839"/>
      <c r="D3157" s="839"/>
      <c r="E3157" s="839"/>
      <c r="F3157" s="840"/>
      <c r="G3157" s="103">
        <f>SUM(G3143,G3149,G3155)</f>
        <v>5145.7197999999999</v>
      </c>
    </row>
    <row r="3160" spans="1:11">
      <c r="A3160" s="237" t="s">
        <v>131</v>
      </c>
      <c r="B3160" s="190" t="s">
        <v>27</v>
      </c>
      <c r="C3160" s="841" t="s">
        <v>1281</v>
      </c>
      <c r="D3160" s="841"/>
      <c r="E3160" s="841"/>
      <c r="F3160" s="841"/>
      <c r="G3160" s="81" t="s">
        <v>127</v>
      </c>
      <c r="I3160" s="480" t="s">
        <v>1901</v>
      </c>
      <c r="J3160" s="80"/>
      <c r="K3160" s="80"/>
    </row>
    <row r="3161" spans="1:11" ht="50.1" customHeight="1">
      <c r="A3161" s="179" t="s">
        <v>740</v>
      </c>
      <c r="B3161" s="82"/>
      <c r="C3161" s="830" t="s">
        <v>741</v>
      </c>
      <c r="D3161" s="831"/>
      <c r="E3161" s="831"/>
      <c r="F3161" s="186">
        <f>G3182</f>
        <v>557.42329999999993</v>
      </c>
      <c r="G3161" s="83" t="s">
        <v>167</v>
      </c>
      <c r="I3161" s="481"/>
      <c r="J3161" s="272"/>
      <c r="K3161" s="272"/>
    </row>
    <row r="3162" spans="1:11">
      <c r="A3162" s="818" t="s">
        <v>1902</v>
      </c>
      <c r="B3162" s="819"/>
      <c r="C3162" s="819"/>
      <c r="D3162" s="819"/>
      <c r="E3162" s="819"/>
      <c r="F3162" s="819"/>
      <c r="G3162" s="820"/>
    </row>
    <row r="3163" spans="1:11">
      <c r="A3163" s="84" t="s">
        <v>1903</v>
      </c>
      <c r="B3163" s="84" t="s">
        <v>131</v>
      </c>
      <c r="C3163" s="160" t="s">
        <v>1904</v>
      </c>
      <c r="D3163" s="84" t="s">
        <v>167</v>
      </c>
      <c r="E3163" s="85" t="s">
        <v>1905</v>
      </c>
      <c r="F3163" s="86" t="s">
        <v>1906</v>
      </c>
      <c r="G3163" s="86" t="s">
        <v>1907</v>
      </c>
    </row>
    <row r="3164" spans="1:11" ht="24">
      <c r="A3164" s="87" t="s">
        <v>2</v>
      </c>
      <c r="B3164" s="87">
        <v>34637</v>
      </c>
      <c r="C3164" s="278" t="s">
        <v>2088</v>
      </c>
      <c r="D3164" s="89" t="s">
        <v>1932</v>
      </c>
      <c r="E3164" s="88">
        <v>1</v>
      </c>
      <c r="F3164" s="89">
        <v>277.39</v>
      </c>
      <c r="G3164" s="89">
        <f t="shared" ref="G3164" si="47">F3164*E3164</f>
        <v>277.39</v>
      </c>
    </row>
    <row r="3165" spans="1:11">
      <c r="A3165" s="87"/>
      <c r="B3165" s="87"/>
      <c r="C3165" s="278" t="str">
        <f>IF(B3165="","",IF($A$8="NÃO DESONERADO",(IF(A3165="SINAPI",VLOOKUP(B3165,#REF!,2,0),IF(A3165="SUDECAP",VLOOKUP(B3165,#REF!,3,0),IF(A3165="SETOP",VLOOKUP(B3165,#REF!,2,0),IF(A3165="COTAÇÃO",VLOOKUP(B3165,'Mapa Cotações'!$A:$N,2,0)))))),(IF(A3165="SINAPI",VLOOKUP(B3165,#REF!,2,0),IF(A3165="SUDECAP",VLOOKUP(B3165,#REF!,3,0),IF(A3165="SETOP",VLOOKUP(B3165,#REF!,2,0),IF(A3165="COTAÇÃO",VLOOKUP(B3165,'Mapa Cotações'!$A:$N,2,0))))))))</f>
        <v/>
      </c>
      <c r="D3165" s="89" t="str">
        <f>IF(B3165="","",IF($A$8="NÃO DESONERADO",(IF(A3165="SINAPI",VLOOKUP(B3165,#REF!,3,0),IF(A3165="SUDECAP",VLOOKUP(B3165,#REF!,4,0),IF(A3165="SETOP",VLOOKUP(B3165,#REF!,3,0),IF(A3165="COTAÇÃO",VLOOKUP(B3165,'Mapa Cotações'!$A:$N,3,0)))))),(IF(A3165="SINAPI",VLOOKUP(B3165,#REF!,3,0),IF(A3165="SUDECAP",VLOOKUP(B3165,#REF!,4,0),IF(A3165="SETOP",VLOOKUP(B3165,#REF!,3,0),IF(A3165="COTAÇÃO",VLOOKUP(B3165,'Mapa Cotações'!$A:$N,3,0))))))))</f>
        <v/>
      </c>
      <c r="E3165" s="88"/>
      <c r="F3165" s="89" t="str">
        <f>IF(B3165="","",IF($A$8="NÃO DESONERADO",(IF(A3165="SINAPI",VLOOKUP(B3165,#REF!,4,0),IF(A3165="SUDECAP",VLOOKUP(B3165,#REF!,5,0),IF(A3165="SETOP",VLOOKUP(B3165,#REF!,4,0),IF(A3165="COTAÇÃO",VLOOKUP(B3165,'Mapa Cotações'!$A:$N,13,0)))))),(IF(A3165="SINAPI",VLOOKUP(B3165,#REF!,4,0),IF(A3165="SUDECAP",VLOOKUP(B3165,#REF!,5,0),IF(A3165="SETOP",VLOOKUP(B3165,#REF!,4,0),IF(A3165="COTAÇÃO",VLOOKUP(B3165,'Mapa Cotações'!$A:$N,13,0))))))))</f>
        <v/>
      </c>
      <c r="G3165" s="89" t="str">
        <f>IF(D3165="","",E3165*F3165)</f>
        <v/>
      </c>
    </row>
    <row r="3166" spans="1:11">
      <c r="A3166" s="832" t="s">
        <v>1908</v>
      </c>
      <c r="B3166" s="833"/>
      <c r="C3166" s="833"/>
      <c r="D3166" s="833"/>
      <c r="E3166" s="833"/>
      <c r="F3166" s="834"/>
      <c r="G3166" s="90">
        <f>IF(F3164="","",(SUM(G3164:G3165)))</f>
        <v>277.39</v>
      </c>
    </row>
    <row r="3167" spans="1:11">
      <c r="A3167" s="91"/>
      <c r="B3167" s="92"/>
      <c r="C3167" s="161"/>
      <c r="D3167" s="93"/>
      <c r="E3167" s="94"/>
      <c r="F3167" s="95"/>
      <c r="G3167" s="96"/>
    </row>
    <row r="3168" spans="1:11">
      <c r="A3168" s="835" t="s">
        <v>1909</v>
      </c>
      <c r="B3168" s="836"/>
      <c r="C3168" s="836"/>
      <c r="D3168" s="836"/>
      <c r="E3168" s="836"/>
      <c r="F3168" s="836"/>
      <c r="G3168" s="837"/>
    </row>
    <row r="3169" spans="1:7">
      <c r="A3169" s="84" t="s">
        <v>1903</v>
      </c>
      <c r="B3169" s="84" t="s">
        <v>131</v>
      </c>
      <c r="C3169" s="160" t="s">
        <v>1904</v>
      </c>
      <c r="D3169" s="84" t="s">
        <v>167</v>
      </c>
      <c r="E3169" s="85" t="s">
        <v>1905</v>
      </c>
      <c r="F3169" s="86" t="s">
        <v>1906</v>
      </c>
      <c r="G3169" s="86" t="s">
        <v>1907</v>
      </c>
    </row>
    <row r="3170" spans="1:7" ht="24">
      <c r="A3170" s="87" t="s">
        <v>2</v>
      </c>
      <c r="B3170" s="87">
        <v>88248</v>
      </c>
      <c r="C3170" s="278" t="s">
        <v>1947</v>
      </c>
      <c r="D3170" s="89" t="s">
        <v>2087</v>
      </c>
      <c r="E3170" s="88">
        <f>0.1485*10</f>
        <v>1.4849999999999999</v>
      </c>
      <c r="F3170" s="89">
        <v>21.45</v>
      </c>
      <c r="G3170" s="89">
        <f t="shared" ref="G3170:G3171" si="48">F3170*E3170</f>
        <v>31.853249999999996</v>
      </c>
    </row>
    <row r="3171" spans="1:7" ht="24">
      <c r="A3171" s="87" t="s">
        <v>2</v>
      </c>
      <c r="B3171" s="87">
        <v>88267</v>
      </c>
      <c r="C3171" s="278" t="s">
        <v>1949</v>
      </c>
      <c r="D3171" s="89" t="s">
        <v>2087</v>
      </c>
      <c r="E3171" s="88">
        <f>0.1485*10</f>
        <v>1.4849999999999999</v>
      </c>
      <c r="F3171" s="89">
        <v>26.33</v>
      </c>
      <c r="G3171" s="89">
        <f t="shared" si="48"/>
        <v>39.100049999999996</v>
      </c>
    </row>
    <row r="3172" spans="1:7">
      <c r="A3172" s="832" t="s">
        <v>1908</v>
      </c>
      <c r="B3172" s="833"/>
      <c r="C3172" s="833"/>
      <c r="D3172" s="833"/>
      <c r="E3172" s="833"/>
      <c r="F3172" s="834"/>
      <c r="G3172" s="90">
        <f>IF(F3170="","",(SUM(G3170:G3171)))</f>
        <v>70.953299999999984</v>
      </c>
    </row>
    <row r="3173" spans="1:7">
      <c r="A3173" s="91"/>
      <c r="B3173" s="92"/>
      <c r="C3173" s="162"/>
      <c r="D3173" s="92"/>
      <c r="E3173" s="97"/>
      <c r="F3173" s="98"/>
      <c r="G3173" s="96"/>
    </row>
    <row r="3174" spans="1:7">
      <c r="A3174" s="835" t="s">
        <v>1912</v>
      </c>
      <c r="B3174" s="836"/>
      <c r="C3174" s="836"/>
      <c r="D3174" s="836"/>
      <c r="E3174" s="836"/>
      <c r="F3174" s="836"/>
      <c r="G3174" s="837"/>
    </row>
    <row r="3175" spans="1:7">
      <c r="A3175" s="84" t="s">
        <v>1903</v>
      </c>
      <c r="B3175" s="84" t="s">
        <v>131</v>
      </c>
      <c r="C3175" s="160" t="s">
        <v>1904</v>
      </c>
      <c r="D3175" s="84" t="s">
        <v>167</v>
      </c>
      <c r="E3175" s="85" t="s">
        <v>1905</v>
      </c>
      <c r="F3175" s="86" t="s">
        <v>1906</v>
      </c>
      <c r="G3175" s="86" t="s">
        <v>1907</v>
      </c>
    </row>
    <row r="3176" spans="1:7" ht="54.75" customHeight="1">
      <c r="A3176" s="87" t="s">
        <v>2</v>
      </c>
      <c r="B3176" s="87">
        <v>94703</v>
      </c>
      <c r="C3176" s="278" t="s">
        <v>2089</v>
      </c>
      <c r="D3176" s="89" t="s">
        <v>167</v>
      </c>
      <c r="E3176" s="88">
        <v>2</v>
      </c>
      <c r="F3176" s="89" t="s">
        <v>2090</v>
      </c>
      <c r="G3176" s="89">
        <f>IF(D3176="","",E3176*F3176)</f>
        <v>37.44</v>
      </c>
    </row>
    <row r="3177" spans="1:7" ht="54.75" customHeight="1">
      <c r="A3177" s="87" t="s">
        <v>2</v>
      </c>
      <c r="B3177" s="87">
        <v>94706</v>
      </c>
      <c r="C3177" s="278" t="s">
        <v>2091</v>
      </c>
      <c r="D3177" s="89" t="s">
        <v>167</v>
      </c>
      <c r="E3177" s="88">
        <v>2</v>
      </c>
      <c r="F3177" s="89">
        <v>33.299999999999997</v>
      </c>
      <c r="G3177" s="89">
        <f>IF(D3177="","",E3177*F3177)</f>
        <v>66.599999999999994</v>
      </c>
    </row>
    <row r="3178" spans="1:7" ht="54.75" customHeight="1">
      <c r="A3178" s="87" t="s">
        <v>2</v>
      </c>
      <c r="B3178" s="87">
        <v>94707</v>
      </c>
      <c r="C3178" s="278" t="s">
        <v>2092</v>
      </c>
      <c r="D3178" s="89" t="s">
        <v>167</v>
      </c>
      <c r="E3178" s="88">
        <v>2</v>
      </c>
      <c r="F3178" s="89">
        <v>52.52</v>
      </c>
      <c r="G3178" s="89">
        <f>IF(D3178="","",E3178*F3178)</f>
        <v>105.04</v>
      </c>
    </row>
    <row r="3179" spans="1:7">
      <c r="A3179" s="87"/>
      <c r="B3179" s="87"/>
      <c r="C3179" s="278" t="str">
        <f>IF(B3179="","",IF($A$8="NÃO DESONERADO",(IF(A3179="SINAPI",VLOOKUP(B3179,#REF!,2,0),IF(A3179="SUDECAP",VLOOKUP(B3179,#REF!,3,0),IF(A3179="SETOP",VLOOKUP(B3179,#REF!,2,0),IF(A3179="COTAÇÃO",VLOOKUP(B3179,'Mapa Cotações'!$A:$N,2,0)))))),(IF(A3179="SINAPI",VLOOKUP(B3179,#REF!,2,0),IF(A3179="SUDECAP",VLOOKUP(B3179,#REF!,3,0),IF(A3179="SETOP",VLOOKUP(B3179,#REF!,2,0),IF(A3179="COTAÇÃO",VLOOKUP(B3179,'Mapa Cotações'!$A:$N,2,0))))))))</f>
        <v/>
      </c>
      <c r="D3179" s="89" t="str">
        <f>IF(B3179="","",IF($A$8="NÃO DESONERADO",(IF(A3179="SINAPI",VLOOKUP(B3179,#REF!,3,0),IF(A3179="SUDECAP",VLOOKUP(B3179,#REF!,4,0),IF(A3179="SETOP",VLOOKUP(B3179,#REF!,3,0),IF(A3179="COTAÇÃO",VLOOKUP(B3179,'Mapa Cotações'!$A:$N,3,0)))))),(IF(A3179="SINAPI",VLOOKUP(B3179,#REF!,3,0),IF(A3179="SUDECAP",VLOOKUP(B3179,#REF!,4,0),IF(A3179="SETOP",VLOOKUP(B3179,#REF!,3,0),IF(A3179="COTAÇÃO",VLOOKUP(B3179,'Mapa Cotações'!$A:$N,3,0))))))))</f>
        <v/>
      </c>
      <c r="E3179" s="88"/>
      <c r="F3179" s="89" t="str">
        <f>IF(B3179="","",IF($A$8="NÃO DESONERADO",(IF(A3179="SINAPI",VLOOKUP(B3179,#REF!,4,0),IF(A3179="SUDECAP",VLOOKUP(B3179,#REF!,5,0),IF(A3179="SETOP",VLOOKUP(B3179,#REF!,4,0),IF(A3179="COTAÇÃO",VLOOKUP(B3179,'Mapa Cotações'!$A:$N,13,0)))))),(IF(A3179="SINAPI",VLOOKUP(B3179,#REF!,4,0),IF(A3179="SUDECAP",VLOOKUP(B3179,#REF!,5,0),IF(A3179="SETOP",VLOOKUP(B3179,#REF!,4,0),IF(A3179="COTAÇÃO",VLOOKUP(B3179,'Mapa Cotações'!$A:$N,13,0))))))))</f>
        <v/>
      </c>
      <c r="G3179" s="89" t="str">
        <f>IF(D3179="","",E3179*F3179)</f>
        <v/>
      </c>
    </row>
    <row r="3180" spans="1:7">
      <c r="A3180" s="832" t="s">
        <v>1908</v>
      </c>
      <c r="B3180" s="833" t="s">
        <v>1908</v>
      </c>
      <c r="C3180" s="833"/>
      <c r="D3180" s="833"/>
      <c r="E3180" s="833"/>
      <c r="F3180" s="834"/>
      <c r="G3180" s="90">
        <f>IF(F3176="","",(SUM(G3176:G3179)))</f>
        <v>209.07999999999998</v>
      </c>
    </row>
    <row r="3181" spans="1:7" ht="13.5" thickBot="1">
      <c r="A3181" s="91"/>
      <c r="B3181" s="92"/>
      <c r="C3181" s="163"/>
      <c r="D3181" s="99"/>
      <c r="E3181" s="100"/>
      <c r="F3181" s="101"/>
      <c r="G3181" s="102"/>
    </row>
    <row r="3182" spans="1:7" ht="13.5" thickBot="1">
      <c r="A3182" s="838" t="s">
        <v>1259</v>
      </c>
      <c r="B3182" s="839"/>
      <c r="C3182" s="839"/>
      <c r="D3182" s="839"/>
      <c r="E3182" s="839"/>
      <c r="F3182" s="840"/>
      <c r="G3182" s="103">
        <f>SUM(G3166,G3172,G3180)</f>
        <v>557.42329999999993</v>
      </c>
    </row>
    <row r="3185" spans="1:11">
      <c r="A3185" s="237" t="s">
        <v>131</v>
      </c>
      <c r="B3185" s="190" t="s">
        <v>27</v>
      </c>
      <c r="C3185" s="841" t="s">
        <v>1281</v>
      </c>
      <c r="D3185" s="841"/>
      <c r="E3185" s="841"/>
      <c r="F3185" s="841"/>
      <c r="G3185" s="81" t="s">
        <v>127</v>
      </c>
      <c r="I3185" s="480" t="s">
        <v>1901</v>
      </c>
      <c r="J3185" s="80"/>
      <c r="K3185" s="80"/>
    </row>
    <row r="3186" spans="1:11" ht="39.950000000000003" customHeight="1">
      <c r="A3186" s="179" t="s">
        <v>1020</v>
      </c>
      <c r="B3186" s="82"/>
      <c r="C3186" s="842" t="s">
        <v>3045</v>
      </c>
      <c r="D3186" s="843"/>
      <c r="E3186" s="843"/>
      <c r="F3186" s="186">
        <f>G3210</f>
        <v>66190.172919999997</v>
      </c>
      <c r="G3186" s="83" t="s">
        <v>167</v>
      </c>
      <c r="I3186" s="481"/>
      <c r="J3186" s="272"/>
      <c r="K3186" s="272"/>
    </row>
    <row r="3187" spans="1:11">
      <c r="A3187" s="818" t="s">
        <v>1902</v>
      </c>
      <c r="B3187" s="819"/>
      <c r="C3187" s="819"/>
      <c r="D3187" s="819"/>
      <c r="E3187" s="819"/>
      <c r="F3187" s="819"/>
      <c r="G3187" s="820"/>
    </row>
    <row r="3188" spans="1:11">
      <c r="A3188" s="84" t="s">
        <v>1903</v>
      </c>
      <c r="B3188" s="84" t="s">
        <v>131</v>
      </c>
      <c r="C3188" s="160" t="s">
        <v>1904</v>
      </c>
      <c r="D3188" s="84" t="s">
        <v>167</v>
      </c>
      <c r="E3188" s="85" t="s">
        <v>1905</v>
      </c>
      <c r="F3188" s="86" t="s">
        <v>1906</v>
      </c>
      <c r="G3188" s="86" t="s">
        <v>1907</v>
      </c>
    </row>
    <row r="3189" spans="1:11" ht="36" customHeight="1">
      <c r="A3189" s="87" t="s">
        <v>1917</v>
      </c>
      <c r="B3189" s="187" t="s">
        <v>2093</v>
      </c>
      <c r="C3189" s="475" t="str">
        <f>IF(B3189="","",IF($A$8="NÃO DESONERADO",(IF(A3189="SINAPI",VLOOKUP(B3189,#REF!,2,0),IF(A3189="SUDECAP",VLOOKUP(B3189,#REF!,3,0),IF(A3189="SETOP",VLOOKUP(B3189,#REF!,2,0),IF(A3189="COTAÇÃO",VLOOKUP(B3189,'Mapa Cotações'!$A:$N,2,0)))))),(IF(A3189="SINAPI",VLOOKUP(B3189,#REF!,2,0),IF(A3189="SUDECAP",VLOOKUP(B3189,#REF!,3,0),IF(A3189="SETOP",VLOOKUP(B3189,#REF!,2,0),IF(A3189="COTAÇÃO",VLOOKUP(B3189,'Mapa Cotações'!$A:$N,2,0))))))))</f>
        <v>UNIDADE CONDICIONADORA DE AR TIPO "FAN-COIL" MODELO VORTEX 35 TR, GABINETE VERTICAL, DESCARGA VERTICAL PARA CIMA, VENTILADOR SIROCCO -FC-01 3B.
CAPACIDADE NOMINAL = 125,71 KW (35,74TR)/ CAPACIDADE SENSÍVEL = 79 KW
VAZÃO DE AR INSUFLADO = 23245 M3/H
PRESSÃO ESTÁTICA EXTERNA = 30 MMCA
TEMPERATURA DO AR DE ENTRADA SERPENTINA (BS/BU) = 24,8/18,9°C / TEMPERATURA DA ÁGUA GELADA ENT/SAÍDA = 7,0/12,5 °C 
VAZÃO DE ÁGUA GELADA = 20,46 M3/H / PERDA DE CARGA NA SERPENTINA = 1,15 MCA 
NÚMERO DE ROWS = 6 / NÚMERO DE CIRCUITOS = 51 
NÚMERO DE TUBOS = 34 / DIÂMETRO DO TUBO = 1/2"
NÚMERO DE ALETAS POR POLEGADA = 9 /DIÂMETRO DA CONEXÃO = 2" 
LADO HIDRÁULICA = ESQUERDA (VISTO FRENTE AO FILTRO DE AR ) 
POTÊNCIA MOTOR ELÉTRICO = 10 CV (220V/3F/60HZ)
DIMENSÕES DA UNIDADE (A/L/P) = 2352/2656/1009 MM / PESO DA UNIDADE = 460 KG 
OBS.: EQUIPAMENTO DOTADO DE FILTRO DE AR CLASSE M5 
REF.: CARRIER OU EQUIVALENTE</v>
      </c>
      <c r="D3189" s="89" t="str">
        <f>IF(B3189="","",IF($A$8="NÃO DESONERADO",(IF(A3189="SINAPI",VLOOKUP(B3189,#REF!,3,0),IF(A3189="SUDECAP",VLOOKUP(B3189,#REF!,4,0),IF(A3189="SETOP",VLOOKUP(B3189,#REF!,3,0),IF(A3189="COTAÇÃO",VLOOKUP(B3189,'Mapa Cotações'!$A:$N,3,0)))))),(IF(A3189="SINAPI",VLOOKUP(B3189,#REF!,3,0),IF(A3189="SUDECAP",VLOOKUP(B3189,#REF!,4,0),IF(A3189="SETOP",VLOOKUP(B3189,#REF!,3,0),IF(A3189="COTAÇÃO",VLOOKUP(B3189,'Mapa Cotações'!$A:$N,3,0))))))))</f>
        <v>UN</v>
      </c>
      <c r="E3189" s="88">
        <v>1</v>
      </c>
      <c r="F3189" s="89">
        <f>IF(B3189="","",IF($A$8="NÃO DESONERADO",(IF(A3189="SINAPI",VLOOKUP(B3189,#REF!,4,0),IF(A3189="SUDECAP",VLOOKUP(B3189,#REF!,5,0),IF(A3189="SETOP",VLOOKUP(B3189,#REF!,4,0),IF(A3189="COTAÇÃO",VLOOKUP(B3189,'Mapa Cotações'!$A:$N,13,0)))))),(IF(A3189="SINAPI",VLOOKUP(B3189,#REF!,4,0),IF(A3189="SUDECAP",VLOOKUP(B3189,#REF!,5,0),IF(A3189="SETOP",VLOOKUP(B3189,#REF!,4,0),IF(A3189="COTAÇÃO",VLOOKUP(B3189,'Mapa Cotações'!$A:$N,13,0))))))))</f>
        <v>62609.43</v>
      </c>
      <c r="G3189" s="89">
        <f>IF(D3189="","",E3189*F3189)</f>
        <v>62609.43</v>
      </c>
    </row>
    <row r="3190" spans="1:11" ht="36">
      <c r="A3190" s="636" t="s">
        <v>2</v>
      </c>
      <c r="B3190" s="636">
        <v>1570</v>
      </c>
      <c r="C3190" s="661" t="s">
        <v>2094</v>
      </c>
      <c r="D3190" s="638" t="s">
        <v>1932</v>
      </c>
      <c r="E3190" s="637">
        <v>10</v>
      </c>
      <c r="F3190" s="638">
        <v>1.46</v>
      </c>
      <c r="G3190" s="638">
        <f t="shared" ref="G3190:G3195" si="49">IF(D3190="","",E3190*F3190)</f>
        <v>14.6</v>
      </c>
    </row>
    <row r="3191" spans="1:11">
      <c r="A3191" s="636" t="s">
        <v>2</v>
      </c>
      <c r="B3191" s="636">
        <v>4374</v>
      </c>
      <c r="C3191" s="661" t="s">
        <v>2095</v>
      </c>
      <c r="D3191" s="638" t="s">
        <v>1932</v>
      </c>
      <c r="E3191" s="637">
        <v>6</v>
      </c>
      <c r="F3191" s="638">
        <v>0.44</v>
      </c>
      <c r="G3191" s="638">
        <f t="shared" si="49"/>
        <v>2.64</v>
      </c>
    </row>
    <row r="3192" spans="1:11" ht="24">
      <c r="A3192" s="636" t="s">
        <v>2</v>
      </c>
      <c r="B3192" s="636">
        <v>11976</v>
      </c>
      <c r="C3192" s="661" t="s">
        <v>2096</v>
      </c>
      <c r="D3192" s="638" t="s">
        <v>1932</v>
      </c>
      <c r="E3192" s="637">
        <v>6</v>
      </c>
      <c r="F3192" s="638">
        <v>1.64</v>
      </c>
      <c r="G3192" s="638">
        <f t="shared" si="49"/>
        <v>9.84</v>
      </c>
    </row>
    <row r="3193" spans="1:11" ht="36">
      <c r="A3193" s="636" t="s">
        <v>2</v>
      </c>
      <c r="B3193" s="636">
        <v>13246</v>
      </c>
      <c r="C3193" s="661" t="s">
        <v>2097</v>
      </c>
      <c r="D3193" s="638" t="s">
        <v>1932</v>
      </c>
      <c r="E3193" s="637">
        <v>6</v>
      </c>
      <c r="F3193" s="638">
        <v>0.61</v>
      </c>
      <c r="G3193" s="638">
        <f t="shared" si="49"/>
        <v>3.66</v>
      </c>
    </row>
    <row r="3194" spans="1:11" ht="24">
      <c r="A3194" s="636" t="s">
        <v>2</v>
      </c>
      <c r="B3194" s="636">
        <v>13348</v>
      </c>
      <c r="C3194" s="661" t="s">
        <v>2098</v>
      </c>
      <c r="D3194" s="638" t="s">
        <v>1932</v>
      </c>
      <c r="E3194" s="637">
        <v>6</v>
      </c>
      <c r="F3194" s="638">
        <v>1.79</v>
      </c>
      <c r="G3194" s="638">
        <f t="shared" si="49"/>
        <v>10.74</v>
      </c>
    </row>
    <row r="3195" spans="1:11" ht="24">
      <c r="A3195" s="636" t="s">
        <v>2</v>
      </c>
      <c r="B3195" s="636">
        <v>37591</v>
      </c>
      <c r="C3195" s="661" t="s">
        <v>2099</v>
      </c>
      <c r="D3195" s="638" t="s">
        <v>1932</v>
      </c>
      <c r="E3195" s="637">
        <v>2</v>
      </c>
      <c r="F3195" s="638">
        <v>20.059999999999999</v>
      </c>
      <c r="G3195" s="638">
        <f t="shared" si="49"/>
        <v>40.119999999999997</v>
      </c>
    </row>
    <row r="3196" spans="1:11">
      <c r="A3196" s="832" t="s">
        <v>1908</v>
      </c>
      <c r="B3196" s="833"/>
      <c r="C3196" s="833"/>
      <c r="D3196" s="833"/>
      <c r="E3196" s="833"/>
      <c r="F3196" s="834"/>
      <c r="G3196" s="90">
        <f>IF(F3189="","",(SUM(G3189:G3195)))</f>
        <v>62691.03</v>
      </c>
    </row>
    <row r="3197" spans="1:11">
      <c r="A3197" s="91"/>
      <c r="B3197" s="92"/>
      <c r="C3197" s="161"/>
      <c r="D3197" s="93"/>
      <c r="E3197" s="94"/>
      <c r="F3197" s="95"/>
      <c r="G3197" s="96"/>
    </row>
    <row r="3198" spans="1:11">
      <c r="A3198" s="835" t="s">
        <v>1909</v>
      </c>
      <c r="B3198" s="836"/>
      <c r="C3198" s="836"/>
      <c r="D3198" s="836"/>
      <c r="E3198" s="836"/>
      <c r="F3198" s="836"/>
      <c r="G3198" s="837"/>
    </row>
    <row r="3199" spans="1:11">
      <c r="A3199" s="84" t="s">
        <v>1903</v>
      </c>
      <c r="B3199" s="84" t="s">
        <v>131</v>
      </c>
      <c r="C3199" s="160" t="s">
        <v>1904</v>
      </c>
      <c r="D3199" s="84" t="s">
        <v>167</v>
      </c>
      <c r="E3199" s="85" t="s">
        <v>1905</v>
      </c>
      <c r="F3199" s="86" t="s">
        <v>1906</v>
      </c>
      <c r="G3199" s="86" t="s">
        <v>1907</v>
      </c>
    </row>
    <row r="3200" spans="1:11" ht="24">
      <c r="A3200" s="636" t="s">
        <v>2</v>
      </c>
      <c r="B3200" s="636">
        <v>88243</v>
      </c>
      <c r="C3200" s="661" t="s">
        <v>2100</v>
      </c>
      <c r="D3200" s="638" t="s">
        <v>137</v>
      </c>
      <c r="E3200" s="637">
        <f>1.9864*35</f>
        <v>69.524000000000001</v>
      </c>
      <c r="F3200" s="638">
        <v>24.36</v>
      </c>
      <c r="G3200" s="638">
        <f>IF(D3200="","",E3200*F3200)</f>
        <v>1693.60464</v>
      </c>
    </row>
    <row r="3201" spans="1:7" ht="24">
      <c r="A3201" s="636" t="s">
        <v>2</v>
      </c>
      <c r="B3201" s="636">
        <v>100308</v>
      </c>
      <c r="C3201" s="661" t="s">
        <v>1936</v>
      </c>
      <c r="D3201" s="638" t="s">
        <v>137</v>
      </c>
      <c r="E3201" s="637">
        <f>1.9864*35</f>
        <v>69.524000000000001</v>
      </c>
      <c r="F3201" s="638">
        <v>25.97</v>
      </c>
      <c r="G3201" s="638">
        <f>IF(D3201="","",E3201*F3201)</f>
        <v>1805.53828</v>
      </c>
    </row>
    <row r="3202" spans="1:7">
      <c r="A3202" s="832" t="s">
        <v>1908</v>
      </c>
      <c r="B3202" s="833"/>
      <c r="C3202" s="833"/>
      <c r="D3202" s="833"/>
      <c r="E3202" s="833"/>
      <c r="F3202" s="834"/>
      <c r="G3202" s="90">
        <f>IF(F3200="","",(SUM(G3200:G3201)))</f>
        <v>3499.1429200000002</v>
      </c>
    </row>
    <row r="3203" spans="1:7">
      <c r="A3203" s="91"/>
      <c r="B3203" s="92"/>
      <c r="C3203" s="162"/>
      <c r="D3203" s="92"/>
      <c r="E3203" s="97"/>
      <c r="F3203" s="98"/>
      <c r="G3203" s="96"/>
    </row>
    <row r="3204" spans="1:7">
      <c r="A3204" s="835" t="s">
        <v>1912</v>
      </c>
      <c r="B3204" s="836"/>
      <c r="C3204" s="836"/>
      <c r="D3204" s="836"/>
      <c r="E3204" s="836"/>
      <c r="F3204" s="836"/>
      <c r="G3204" s="837"/>
    </row>
    <row r="3205" spans="1:7">
      <c r="A3205" s="84" t="s">
        <v>1903</v>
      </c>
      <c r="B3205" s="84" t="s">
        <v>131</v>
      </c>
      <c r="C3205" s="160" t="s">
        <v>1904</v>
      </c>
      <c r="D3205" s="84" t="s">
        <v>167</v>
      </c>
      <c r="E3205" s="85" t="s">
        <v>1905</v>
      </c>
      <c r="F3205" s="86" t="s">
        <v>1906</v>
      </c>
      <c r="G3205" s="86" t="s">
        <v>1907</v>
      </c>
    </row>
    <row r="3206" spans="1:7">
      <c r="A3206" s="87"/>
      <c r="B3206" s="87"/>
      <c r="C3206" s="278" t="str">
        <f>IF(B3206="","",IF($A$8="NÃO DESONERADO",(IF(A3206="SINAPI",VLOOKUP(B3206,#REF!,2,0),IF(A3206="SUDECAP",VLOOKUP(B3206,#REF!,3,0),IF(A3206="SETOP",VLOOKUP(B3206,#REF!,2,0),IF(A3206="COTAÇÃO",VLOOKUP(B3206,'Mapa Cotações'!$A:$N,2,0)))))),(IF(A3206="SINAPI",VLOOKUP(B3206,#REF!,2,0),IF(A3206="SUDECAP",VLOOKUP(B3206,#REF!,3,0),IF(A3206="SETOP",VLOOKUP(B3206,#REF!,2,0),IF(A3206="COTAÇÃO",VLOOKUP(B3206,'Mapa Cotações'!$A:$N,2,0))))))))</f>
        <v/>
      </c>
      <c r="D3206" s="89" t="str">
        <f>IF(B3206="","",IF($A$8="NÃO DESONERADO",(IF(A3206="SINAPI",VLOOKUP(B3206,#REF!,3,0),IF(A3206="SUDECAP",VLOOKUP(B3206,#REF!,4,0),IF(A3206="SETOP",VLOOKUP(B3206,#REF!,3,0),IF(A3206="COTAÇÃO",VLOOKUP(B3206,'Mapa Cotações'!$A:$N,3,0)))))),(IF(A3206="SINAPI",VLOOKUP(B3206,#REF!,3,0),IF(A3206="SUDECAP",VLOOKUP(B3206,#REF!,4,0),IF(A3206="SETOP",VLOOKUP(B3206,#REF!,3,0),IF(A3206="COTAÇÃO",VLOOKUP(B3206,'Mapa Cotações'!$A:$N,3,0))))))))</f>
        <v/>
      </c>
      <c r="E3206" s="88"/>
      <c r="F3206" s="89" t="str">
        <f>IF(B3206="","",IF($A$8="NÃO DESONERADO",(IF(A3206="SINAPI",VLOOKUP(B3206,#REF!,4,0),IF(A3206="SUDECAP",VLOOKUP(B3206,#REF!,5,0),IF(A3206="SETOP",VLOOKUP(B3206,#REF!,4,0),IF(A3206="COTAÇÃO",VLOOKUP(B3206,'Mapa Cotações'!$A:$N,13,0)))))),(IF(A3206="SINAPI",VLOOKUP(B3206,#REF!,4,0),IF(A3206="SUDECAP",VLOOKUP(B3206,#REF!,5,0),IF(A3206="SETOP",VLOOKUP(B3206,#REF!,4,0),IF(A3206="COTAÇÃO",VLOOKUP(B3206,'Mapa Cotações'!$A:$N,13,0))))))))</f>
        <v/>
      </c>
      <c r="G3206" s="89" t="str">
        <f>IF(D3206="","",E3206*F3206)</f>
        <v/>
      </c>
    </row>
    <row r="3207" spans="1:7">
      <c r="A3207" s="87"/>
      <c r="B3207" s="87"/>
      <c r="C3207" s="278" t="str">
        <f>IF(B3207="","",IF($A$8="NÃO DESONERADO",(IF(A3207="SINAPI",VLOOKUP(B3207,#REF!,2,0),IF(A3207="SUDECAP",VLOOKUP(B3207,#REF!,3,0),IF(A3207="SETOP",VLOOKUP(B3207,#REF!,2,0),IF(A3207="COTAÇÃO",VLOOKUP(B3207,'Mapa Cotações'!$A:$N,2,0)))))),(IF(A3207="SINAPI",VLOOKUP(B3207,#REF!,2,0),IF(A3207="SUDECAP",VLOOKUP(B3207,#REF!,3,0),IF(A3207="SETOP",VLOOKUP(B3207,#REF!,2,0),IF(A3207="COTAÇÃO",VLOOKUP(B3207,'Mapa Cotações'!$A:$N,2,0))))))))</f>
        <v/>
      </c>
      <c r="D3207" s="89" t="str">
        <f>IF(B3207="","",IF($A$8="NÃO DESONERADO",(IF(A3207="SINAPI",VLOOKUP(B3207,#REF!,3,0),IF(A3207="SUDECAP",VLOOKUP(B3207,#REF!,4,0),IF(A3207="SETOP",VLOOKUP(B3207,#REF!,3,0),IF(A3207="COTAÇÃO",VLOOKUP(B3207,'Mapa Cotações'!$A:$N,3,0)))))),(IF(A3207="SINAPI",VLOOKUP(B3207,#REF!,3,0),IF(A3207="SUDECAP",VLOOKUP(B3207,#REF!,4,0),IF(A3207="SETOP",VLOOKUP(B3207,#REF!,3,0),IF(A3207="COTAÇÃO",VLOOKUP(B3207,'Mapa Cotações'!$A:$N,3,0))))))))</f>
        <v/>
      </c>
      <c r="E3207" s="88"/>
      <c r="F3207" s="89" t="str">
        <f>IF(B3207="","",IF($A$8="NÃO DESONERADO",(IF(A3207="SINAPI",VLOOKUP(B3207,#REF!,4,0),IF(A3207="SUDECAP",VLOOKUP(B3207,#REF!,5,0),IF(A3207="SETOP",VLOOKUP(B3207,#REF!,4,0),IF(A3207="COTAÇÃO",VLOOKUP(B3207,'Mapa Cotações'!$A:$N,13,0)))))),(IF(A3207="SINAPI",VLOOKUP(B3207,#REF!,4,0),IF(A3207="SUDECAP",VLOOKUP(B3207,#REF!,5,0),IF(A3207="SETOP",VLOOKUP(B3207,#REF!,4,0),IF(A3207="COTAÇÃO",VLOOKUP(B3207,'Mapa Cotações'!$A:$N,13,0))))))))</f>
        <v/>
      </c>
      <c r="G3207" s="89" t="str">
        <f>IF(D3207="","",E3207*F3207)</f>
        <v/>
      </c>
    </row>
    <row r="3208" spans="1:7">
      <c r="A3208" s="832" t="s">
        <v>1908</v>
      </c>
      <c r="B3208" s="833" t="s">
        <v>1908</v>
      </c>
      <c r="C3208" s="833"/>
      <c r="D3208" s="833"/>
      <c r="E3208" s="833"/>
      <c r="F3208" s="834"/>
      <c r="G3208" s="90" t="str">
        <f>IF(F3206="","",(SUM(G3206:G3207)))</f>
        <v/>
      </c>
    </row>
    <row r="3209" spans="1:7" ht="13.5" thickBot="1">
      <c r="A3209" s="91"/>
      <c r="B3209" s="92"/>
      <c r="C3209" s="163"/>
      <c r="D3209" s="99"/>
      <c r="E3209" s="100"/>
      <c r="F3209" s="101"/>
      <c r="G3209" s="102"/>
    </row>
    <row r="3210" spans="1:7" ht="13.5" thickBot="1">
      <c r="A3210" s="838" t="s">
        <v>1259</v>
      </c>
      <c r="B3210" s="839"/>
      <c r="C3210" s="839"/>
      <c r="D3210" s="839"/>
      <c r="E3210" s="839"/>
      <c r="F3210" s="840"/>
      <c r="G3210" s="103">
        <f>SUM(G3196,G3202,G3208)</f>
        <v>66190.172919999997</v>
      </c>
    </row>
    <row r="3212" spans="1:7">
      <c r="A3212" s="660"/>
      <c r="B3212" s="653"/>
      <c r="C3212" s="815"/>
      <c r="D3212" s="815"/>
      <c r="E3212" s="815"/>
      <c r="F3212" s="815"/>
      <c r="G3212" s="632"/>
    </row>
    <row r="3213" spans="1:7">
      <c r="A3213" s="179"/>
      <c r="B3213" s="82"/>
      <c r="C3213" s="842"/>
      <c r="D3213" s="843"/>
      <c r="E3213" s="843"/>
      <c r="F3213" s="186"/>
      <c r="G3213" s="83"/>
    </row>
    <row r="3214" spans="1:7">
      <c r="A3214" s="818"/>
      <c r="B3214" s="819"/>
      <c r="C3214" s="819"/>
      <c r="D3214" s="819"/>
      <c r="E3214" s="819"/>
      <c r="F3214" s="819"/>
      <c r="G3214" s="820"/>
    </row>
    <row r="3215" spans="1:7">
      <c r="A3215" s="633"/>
      <c r="B3215" s="633"/>
      <c r="C3215" s="649"/>
      <c r="D3215" s="633"/>
      <c r="E3215" s="634"/>
      <c r="F3215" s="635"/>
      <c r="G3215" s="635"/>
    </row>
    <row r="3216" spans="1:7">
      <c r="A3216" s="636"/>
      <c r="B3216" s="636"/>
      <c r="C3216" s="661"/>
      <c r="D3216" s="638"/>
      <c r="E3216" s="637"/>
      <c r="F3216" s="638"/>
      <c r="G3216" s="638"/>
    </row>
    <row r="3217" spans="1:7">
      <c r="A3217" s="636"/>
      <c r="B3217" s="636"/>
      <c r="C3217" s="661"/>
      <c r="D3217" s="638"/>
      <c r="E3217" s="637"/>
      <c r="F3217" s="638"/>
      <c r="G3217" s="638"/>
    </row>
    <row r="3218" spans="1:7">
      <c r="A3218" s="636"/>
      <c r="B3218" s="636"/>
      <c r="C3218" s="661"/>
      <c r="D3218" s="638"/>
      <c r="E3218" s="637"/>
      <c r="F3218" s="638"/>
      <c r="G3218" s="638"/>
    </row>
    <row r="3219" spans="1:7">
      <c r="A3219" s="636"/>
      <c r="B3219" s="636"/>
      <c r="C3219" s="661"/>
      <c r="D3219" s="638"/>
      <c r="E3219" s="637"/>
      <c r="F3219" s="638"/>
      <c r="G3219" s="638"/>
    </row>
    <row r="3220" spans="1:7">
      <c r="A3220" s="636"/>
      <c r="B3220" s="636"/>
      <c r="C3220" s="661"/>
      <c r="D3220" s="638"/>
      <c r="E3220" s="637"/>
      <c r="F3220" s="638"/>
      <c r="G3220" s="638"/>
    </row>
    <row r="3221" spans="1:7">
      <c r="A3221" s="636"/>
      <c r="B3221" s="636"/>
      <c r="C3221" s="661"/>
      <c r="D3221" s="638"/>
      <c r="E3221" s="637"/>
      <c r="F3221" s="638"/>
      <c r="G3221" s="638"/>
    </row>
    <row r="3222" spans="1:7">
      <c r="A3222" s="821"/>
      <c r="B3222" s="822"/>
      <c r="C3222" s="822"/>
      <c r="D3222" s="822"/>
      <c r="E3222" s="822"/>
      <c r="F3222" s="823"/>
      <c r="G3222" s="613"/>
    </row>
    <row r="3223" spans="1:7">
      <c r="A3223" s="639"/>
      <c r="B3223" s="640"/>
      <c r="C3223" s="161"/>
      <c r="D3223" s="93"/>
      <c r="E3223" s="94"/>
      <c r="F3223" s="95"/>
      <c r="G3223" s="641"/>
    </row>
    <row r="3224" spans="1:7">
      <c r="A3224" s="824"/>
      <c r="B3224" s="825"/>
      <c r="C3224" s="825"/>
      <c r="D3224" s="825"/>
      <c r="E3224" s="825"/>
      <c r="F3224" s="825"/>
      <c r="G3224" s="826"/>
    </row>
    <row r="3225" spans="1:7">
      <c r="A3225" s="633"/>
      <c r="B3225" s="633"/>
      <c r="C3225" s="649"/>
      <c r="D3225" s="633"/>
      <c r="E3225" s="634"/>
      <c r="F3225" s="635"/>
      <c r="G3225" s="635"/>
    </row>
    <row r="3226" spans="1:7">
      <c r="A3226" s="636"/>
      <c r="B3226" s="636"/>
      <c r="C3226" s="661"/>
      <c r="D3226" s="638"/>
      <c r="E3226" s="637"/>
      <c r="F3226" s="638"/>
      <c r="G3226" s="638"/>
    </row>
    <row r="3227" spans="1:7">
      <c r="A3227" s="636"/>
      <c r="B3227" s="636"/>
      <c r="C3227" s="661"/>
      <c r="D3227" s="638"/>
      <c r="E3227" s="637"/>
      <c r="F3227" s="638"/>
      <c r="G3227" s="638"/>
    </row>
    <row r="3228" spans="1:7">
      <c r="A3228" s="821"/>
      <c r="B3228" s="822"/>
      <c r="C3228" s="822"/>
      <c r="D3228" s="822"/>
      <c r="E3228" s="822"/>
      <c r="F3228" s="823"/>
      <c r="G3228" s="613"/>
    </row>
    <row r="3229" spans="1:7">
      <c r="A3229" s="639"/>
      <c r="B3229" s="640"/>
      <c r="C3229" s="650"/>
      <c r="D3229" s="640"/>
      <c r="E3229" s="642"/>
      <c r="F3229" s="643"/>
      <c r="G3229" s="641"/>
    </row>
    <row r="3230" spans="1:7">
      <c r="A3230" s="824"/>
      <c r="B3230" s="825"/>
      <c r="C3230" s="825"/>
      <c r="D3230" s="825"/>
      <c r="E3230" s="825"/>
      <c r="F3230" s="825"/>
      <c r="G3230" s="826"/>
    </row>
    <row r="3231" spans="1:7">
      <c r="A3231" s="633"/>
      <c r="B3231" s="633"/>
      <c r="C3231" s="649"/>
      <c r="D3231" s="633"/>
      <c r="E3231" s="634"/>
      <c r="F3231" s="635"/>
      <c r="G3231" s="635"/>
    </row>
    <row r="3232" spans="1:7">
      <c r="A3232" s="636"/>
      <c r="B3232" s="636"/>
      <c r="C3232" s="661"/>
      <c r="D3232" s="638"/>
      <c r="E3232" s="637"/>
      <c r="F3232" s="638"/>
      <c r="G3232" s="638"/>
    </row>
    <row r="3233" spans="1:11">
      <c r="A3233" s="636"/>
      <c r="B3233" s="636"/>
      <c r="C3233" s="661"/>
      <c r="D3233" s="638"/>
      <c r="E3233" s="637"/>
      <c r="F3233" s="638"/>
      <c r="G3233" s="638"/>
    </row>
    <row r="3234" spans="1:11">
      <c r="A3234" s="821"/>
      <c r="B3234" s="822"/>
      <c r="C3234" s="822"/>
      <c r="D3234" s="822"/>
      <c r="E3234" s="822"/>
      <c r="F3234" s="823"/>
      <c r="G3234" s="613"/>
    </row>
    <row r="3235" spans="1:11" ht="13.5" thickBot="1">
      <c r="A3235" s="639"/>
      <c r="B3235" s="640"/>
      <c r="C3235" s="651"/>
      <c r="D3235" s="644"/>
      <c r="E3235" s="645"/>
      <c r="F3235" s="646"/>
      <c r="G3235" s="647"/>
    </row>
    <row r="3236" spans="1:11" ht="13.5" thickBot="1">
      <c r="A3236" s="827"/>
      <c r="B3236" s="828"/>
      <c r="C3236" s="828"/>
      <c r="D3236" s="828"/>
      <c r="E3236" s="828"/>
      <c r="F3236" s="829"/>
      <c r="G3236" s="103"/>
    </row>
    <row r="3243" spans="1:11">
      <c r="A3243" s="237" t="s">
        <v>131</v>
      </c>
      <c r="B3243" s="190" t="s">
        <v>27</v>
      </c>
      <c r="C3243" s="841" t="s">
        <v>1281</v>
      </c>
      <c r="D3243" s="841"/>
      <c r="E3243" s="841"/>
      <c r="F3243" s="841"/>
      <c r="G3243" s="81" t="s">
        <v>127</v>
      </c>
      <c r="I3243" s="480" t="s">
        <v>1901</v>
      </c>
      <c r="J3243" s="80"/>
      <c r="K3243" s="80"/>
    </row>
    <row r="3244" spans="1:11" ht="39.950000000000003" customHeight="1">
      <c r="A3244" s="179" t="s">
        <v>1023</v>
      </c>
      <c r="B3244" s="82"/>
      <c r="C3244" s="842" t="s">
        <v>3042</v>
      </c>
      <c r="D3244" s="843"/>
      <c r="E3244" s="843"/>
      <c r="F3244" s="186">
        <f>G3268</f>
        <v>35306.87268</v>
      </c>
      <c r="G3244" s="83" t="s">
        <v>167</v>
      </c>
      <c r="I3244" s="481"/>
      <c r="J3244" s="272"/>
      <c r="K3244" s="272"/>
    </row>
    <row r="3245" spans="1:11">
      <c r="A3245" s="818" t="s">
        <v>1902</v>
      </c>
      <c r="B3245" s="819"/>
      <c r="C3245" s="819"/>
      <c r="D3245" s="819"/>
      <c r="E3245" s="819"/>
      <c r="F3245" s="819"/>
      <c r="G3245" s="820"/>
    </row>
    <row r="3246" spans="1:11">
      <c r="A3246" s="84" t="s">
        <v>1903</v>
      </c>
      <c r="B3246" s="84" t="s">
        <v>131</v>
      </c>
      <c r="C3246" s="160" t="s">
        <v>1904</v>
      </c>
      <c r="D3246" s="84" t="s">
        <v>167</v>
      </c>
      <c r="E3246" s="85" t="s">
        <v>1905</v>
      </c>
      <c r="F3246" s="86" t="s">
        <v>1906</v>
      </c>
      <c r="G3246" s="86" t="s">
        <v>1907</v>
      </c>
    </row>
    <row r="3247" spans="1:11" ht="36" customHeight="1">
      <c r="A3247" s="87" t="s">
        <v>1917</v>
      </c>
      <c r="B3247" s="187" t="s">
        <v>2101</v>
      </c>
      <c r="C3247" s="475" t="str">
        <f>IF(B3247="","",IF($A$8="NÃO DESONERADO",(IF(A3247="SINAPI",VLOOKUP(B3247,#REF!,2,0),IF(A3247="SUDECAP",VLOOKUP(B3247,#REF!,3,0),IF(A3247="SETOP",VLOOKUP(B3247,#REF!,2,0),IF(A3247="COTAÇÃO",VLOOKUP(B3247,'Mapa Cotações'!$A:$N,2,0)))))),(IF(A3247="SINAPI",VLOOKUP(B3247,#REF!,2,0),IF(A3247="SUDECAP",VLOOKUP(B3247,#REF!,3,0),IF(A3247="SETOP",VLOOKUP(B3247,#REF!,2,0),IF(A3247="COTAÇÃO",VLOOKUP(B3247,'Mapa Cotações'!$A:$N,2,0))))))))</f>
        <v>UNIDADE CONDICIONADORA DE AR TIPO "FAN-COIL" MODELO VORTEX 15 TR, GABINETE VERTICAL, DESCARGA VERTICAL PARA CIMA, VENTILADOR SIROCCO -FC-02 3B.
CAPACIDADE NOMINAL = 40,54 KW (11,52) / CAPACIDADE SENSÍVEL = 25,37 KW
VAZÃO DE AR INSUFLADO = 8305 M3/H
 PRESSÃO ESTÁTICA EXTERNA = 30 MMCA
TEMPERATURA DO AR DE ENTRADA SERPENTINA (BS/BU) = 24,7/19,0°C /  TEMPERATURA DA ÁGUA GELADA ENT/SAÍDA = 7,0/12,5 °C
VAZÃO DE ÁGUA GELADA = 6,63 M3/H / PERDA DE CARGA NA SERPENTINA = 2,18 MCA
NÚMERO DE ROWS = 4 / NÚMERO DE CIRCUITOS = 13
NÚMERO DE TUBOS = 26 / DIÂMETRO DO TUBO = 1/2"
NÚMERO DE ALETAS POR POLEGADA = 9 / DIÂMETRO DA CONEXÃO = 11/4"
LADO HIDRÁULICA = DIREITA (VISTO FRENTE AO FILTRO DE AR )
POTÊNCIA MOTOR ELÉTRICO = 3,0 CV (220V/3F/60HZ)
DIMENSÕES DA UNIDADE (A/L/P) = 1609/1849/671 MM / PESO DA UNIDADE = 229 KG
OBS.: EQUIPAMENTO DOTADO DE FILTRO DE AR CLASSE M5
REF.: CARRIER OU EQUIVALENTE</v>
      </c>
      <c r="D3247" s="89" t="str">
        <f>IF(B3247="","",IF($A$8="NÃO DESONERADO",(IF(A3247="SINAPI",VLOOKUP(B3247,#REF!,3,0),IF(A3247="SUDECAP",VLOOKUP(B3247,#REF!,4,0),IF(A3247="SETOP",VLOOKUP(B3247,#REF!,3,0),IF(A3247="COTAÇÃO",VLOOKUP(B3247,'Mapa Cotações'!$A:$N,3,0)))))),(IF(A3247="SINAPI",VLOOKUP(B3247,#REF!,3,0),IF(A3247="SUDECAP",VLOOKUP(B3247,#REF!,4,0),IF(A3247="SETOP",VLOOKUP(B3247,#REF!,3,0),IF(A3247="COTAÇÃO",VLOOKUP(B3247,'Mapa Cotações'!$A:$N,3,0))))))))</f>
        <v>UN</v>
      </c>
      <c r="E3247" s="88">
        <v>1</v>
      </c>
      <c r="F3247" s="89">
        <f>IF(B3247="","",IF($A$8="NÃO DESONERADO",(IF(A3247="SINAPI",VLOOKUP(B3247,#REF!,4,0),IF(A3247="SUDECAP",VLOOKUP(B3247,#REF!,5,0),IF(A3247="SETOP",VLOOKUP(B3247,#REF!,4,0),IF(A3247="COTAÇÃO",VLOOKUP(B3247,'Mapa Cotações'!$A:$N,13,0)))))),(IF(A3247="SINAPI",VLOOKUP(B3247,#REF!,4,0),IF(A3247="SUDECAP",VLOOKUP(B3247,#REF!,5,0),IF(A3247="SETOP",VLOOKUP(B3247,#REF!,4,0),IF(A3247="COTAÇÃO",VLOOKUP(B3247,'Mapa Cotações'!$A:$N,13,0))))))))</f>
        <v>33725.64</v>
      </c>
      <c r="G3247" s="89">
        <f>IF(D3247="","",E3247*F3247)</f>
        <v>33725.64</v>
      </c>
    </row>
    <row r="3248" spans="1:11" ht="36">
      <c r="A3248" s="636" t="s">
        <v>2</v>
      </c>
      <c r="B3248" s="636">
        <v>1570</v>
      </c>
      <c r="C3248" s="661" t="s">
        <v>2094</v>
      </c>
      <c r="D3248" s="638" t="s">
        <v>1932</v>
      </c>
      <c r="E3248" s="637">
        <v>10</v>
      </c>
      <c r="F3248" s="638">
        <v>1.46</v>
      </c>
      <c r="G3248" s="638">
        <f t="shared" ref="G3248:G3253" si="50">IF(D3248="","",E3248*F3248)</f>
        <v>14.6</v>
      </c>
    </row>
    <row r="3249" spans="1:7">
      <c r="A3249" s="636" t="s">
        <v>2</v>
      </c>
      <c r="B3249" s="636">
        <v>4374</v>
      </c>
      <c r="C3249" s="661" t="s">
        <v>2095</v>
      </c>
      <c r="D3249" s="638" t="s">
        <v>1932</v>
      </c>
      <c r="E3249" s="637">
        <v>6</v>
      </c>
      <c r="F3249" s="638">
        <v>0.44</v>
      </c>
      <c r="G3249" s="638">
        <f t="shared" si="50"/>
        <v>2.64</v>
      </c>
    </row>
    <row r="3250" spans="1:7" ht="24">
      <c r="A3250" s="636" t="s">
        <v>2</v>
      </c>
      <c r="B3250" s="636">
        <v>11976</v>
      </c>
      <c r="C3250" s="661" t="s">
        <v>2096</v>
      </c>
      <c r="D3250" s="638" t="s">
        <v>1932</v>
      </c>
      <c r="E3250" s="637">
        <v>6</v>
      </c>
      <c r="F3250" s="638">
        <v>1.64</v>
      </c>
      <c r="G3250" s="638">
        <f t="shared" si="50"/>
        <v>9.84</v>
      </c>
    </row>
    <row r="3251" spans="1:7" ht="36">
      <c r="A3251" s="636" t="s">
        <v>2</v>
      </c>
      <c r="B3251" s="636">
        <v>13246</v>
      </c>
      <c r="C3251" s="661" t="s">
        <v>2097</v>
      </c>
      <c r="D3251" s="638" t="s">
        <v>1932</v>
      </c>
      <c r="E3251" s="637">
        <v>6</v>
      </c>
      <c r="F3251" s="638">
        <v>0.61</v>
      </c>
      <c r="G3251" s="638">
        <f t="shared" si="50"/>
        <v>3.66</v>
      </c>
    </row>
    <row r="3252" spans="1:7" ht="24">
      <c r="A3252" s="636" t="s">
        <v>2</v>
      </c>
      <c r="B3252" s="636">
        <v>13348</v>
      </c>
      <c r="C3252" s="661" t="s">
        <v>2098</v>
      </c>
      <c r="D3252" s="638" t="s">
        <v>1932</v>
      </c>
      <c r="E3252" s="637">
        <v>6</v>
      </c>
      <c r="F3252" s="638">
        <v>1.79</v>
      </c>
      <c r="G3252" s="638">
        <f t="shared" si="50"/>
        <v>10.74</v>
      </c>
    </row>
    <row r="3253" spans="1:7" ht="24">
      <c r="A3253" s="636" t="s">
        <v>2</v>
      </c>
      <c r="B3253" s="636">
        <v>37591</v>
      </c>
      <c r="C3253" s="661" t="s">
        <v>2099</v>
      </c>
      <c r="D3253" s="638" t="s">
        <v>1932</v>
      </c>
      <c r="E3253" s="637">
        <v>2</v>
      </c>
      <c r="F3253" s="638">
        <v>20.059999999999999</v>
      </c>
      <c r="G3253" s="638">
        <f t="shared" si="50"/>
        <v>40.119999999999997</v>
      </c>
    </row>
    <row r="3254" spans="1:7">
      <c r="A3254" s="832" t="s">
        <v>1908</v>
      </c>
      <c r="B3254" s="833"/>
      <c r="C3254" s="833"/>
      <c r="D3254" s="833"/>
      <c r="E3254" s="833"/>
      <c r="F3254" s="834"/>
      <c r="G3254" s="90">
        <f>IF(F3247="","",(SUM(G3247:G3253)))</f>
        <v>33807.24</v>
      </c>
    </row>
    <row r="3255" spans="1:7">
      <c r="A3255" s="91"/>
      <c r="B3255" s="92"/>
      <c r="C3255" s="161"/>
      <c r="D3255" s="93"/>
      <c r="E3255" s="94"/>
      <c r="F3255" s="95"/>
      <c r="G3255" s="96"/>
    </row>
    <row r="3256" spans="1:7">
      <c r="A3256" s="835" t="s">
        <v>1909</v>
      </c>
      <c r="B3256" s="836"/>
      <c r="C3256" s="836"/>
      <c r="D3256" s="836"/>
      <c r="E3256" s="836"/>
      <c r="F3256" s="836"/>
      <c r="G3256" s="837"/>
    </row>
    <row r="3257" spans="1:7">
      <c r="A3257" s="84" t="s">
        <v>1903</v>
      </c>
      <c r="B3257" s="84" t="s">
        <v>131</v>
      </c>
      <c r="C3257" s="160" t="s">
        <v>1904</v>
      </c>
      <c r="D3257" s="84" t="s">
        <v>167</v>
      </c>
      <c r="E3257" s="85" t="s">
        <v>1905</v>
      </c>
      <c r="F3257" s="86" t="s">
        <v>1906</v>
      </c>
      <c r="G3257" s="86" t="s">
        <v>1907</v>
      </c>
    </row>
    <row r="3258" spans="1:7" ht="24.75" customHeight="1">
      <c r="A3258" s="636" t="s">
        <v>2</v>
      </c>
      <c r="B3258" s="636">
        <v>88243</v>
      </c>
      <c r="C3258" s="661" t="s">
        <v>2100</v>
      </c>
      <c r="D3258" s="638" t="s">
        <v>137</v>
      </c>
      <c r="E3258" s="637">
        <f>1.9864*15</f>
        <v>29.795999999999999</v>
      </c>
      <c r="F3258" s="638">
        <v>24.36</v>
      </c>
      <c r="G3258" s="638">
        <f>IF(D3258="","",E3258*F3258)</f>
        <v>725.83055999999999</v>
      </c>
    </row>
    <row r="3259" spans="1:7" ht="24">
      <c r="A3259" s="636" t="s">
        <v>2</v>
      </c>
      <c r="B3259" s="636">
        <v>100308</v>
      </c>
      <c r="C3259" s="661" t="s">
        <v>1936</v>
      </c>
      <c r="D3259" s="638" t="s">
        <v>137</v>
      </c>
      <c r="E3259" s="637">
        <f>1.9864*15</f>
        <v>29.795999999999999</v>
      </c>
      <c r="F3259" s="638">
        <v>25.97</v>
      </c>
      <c r="G3259" s="638">
        <f>IF(D3259="","",E3259*F3259)</f>
        <v>773.80211999999995</v>
      </c>
    </row>
    <row r="3260" spans="1:7">
      <c r="A3260" s="832" t="s">
        <v>1908</v>
      </c>
      <c r="B3260" s="833"/>
      <c r="C3260" s="833"/>
      <c r="D3260" s="833"/>
      <c r="E3260" s="833"/>
      <c r="F3260" s="834"/>
      <c r="G3260" s="90">
        <f>IF(F3258="","",(SUM(G3258:G3259)))</f>
        <v>1499.6326799999999</v>
      </c>
    </row>
    <row r="3261" spans="1:7">
      <c r="A3261" s="91"/>
      <c r="B3261" s="92"/>
      <c r="C3261" s="162"/>
      <c r="D3261" s="92"/>
      <c r="E3261" s="97"/>
      <c r="F3261" s="98"/>
      <c r="G3261" s="96"/>
    </row>
    <row r="3262" spans="1:7">
      <c r="A3262" s="835" t="s">
        <v>1912</v>
      </c>
      <c r="B3262" s="836"/>
      <c r="C3262" s="836"/>
      <c r="D3262" s="836"/>
      <c r="E3262" s="836"/>
      <c r="F3262" s="836"/>
      <c r="G3262" s="837"/>
    </row>
    <row r="3263" spans="1:7">
      <c r="A3263" s="84" t="s">
        <v>1903</v>
      </c>
      <c r="B3263" s="84" t="s">
        <v>131</v>
      </c>
      <c r="C3263" s="160" t="s">
        <v>1904</v>
      </c>
      <c r="D3263" s="84" t="s">
        <v>167</v>
      </c>
      <c r="E3263" s="85" t="s">
        <v>1905</v>
      </c>
      <c r="F3263" s="86" t="s">
        <v>1906</v>
      </c>
      <c r="G3263" s="86" t="s">
        <v>1907</v>
      </c>
    </row>
    <row r="3264" spans="1:7">
      <c r="A3264" s="87"/>
      <c r="B3264" s="87"/>
      <c r="C3264" s="278" t="str">
        <f>IF(B3264="","",IF($A$8="NÃO DESONERADO",(IF(A3264="SINAPI",VLOOKUP(B3264,#REF!,2,0),IF(A3264="SUDECAP",VLOOKUP(B3264,#REF!,3,0),IF(A3264="SETOP",VLOOKUP(B3264,#REF!,2,0),IF(A3264="COTAÇÃO",VLOOKUP(B3264,'Mapa Cotações'!$A:$N,2,0)))))),(IF(A3264="SINAPI",VLOOKUP(B3264,#REF!,2,0),IF(A3264="SUDECAP",VLOOKUP(B3264,#REF!,3,0),IF(A3264="SETOP",VLOOKUP(B3264,#REF!,2,0),IF(A3264="COTAÇÃO",VLOOKUP(B3264,'Mapa Cotações'!$A:$N,2,0))))))))</f>
        <v/>
      </c>
      <c r="D3264" s="89" t="str">
        <f>IF(B3264="","",IF($A$8="NÃO DESONERADO",(IF(A3264="SINAPI",VLOOKUP(B3264,#REF!,3,0),IF(A3264="SUDECAP",VLOOKUP(B3264,#REF!,4,0),IF(A3264="SETOP",VLOOKUP(B3264,#REF!,3,0),IF(A3264="COTAÇÃO",VLOOKUP(B3264,'Mapa Cotações'!$A:$N,3,0)))))),(IF(A3264="SINAPI",VLOOKUP(B3264,#REF!,3,0),IF(A3264="SUDECAP",VLOOKUP(B3264,#REF!,4,0),IF(A3264="SETOP",VLOOKUP(B3264,#REF!,3,0),IF(A3264="COTAÇÃO",VLOOKUP(B3264,'Mapa Cotações'!$A:$N,3,0))))))))</f>
        <v/>
      </c>
      <c r="E3264" s="88"/>
      <c r="F3264" s="89" t="str">
        <f>IF(B3264="","",IF($A$8="NÃO DESONERADO",(IF(A3264="SINAPI",VLOOKUP(B3264,#REF!,4,0),IF(A3264="SUDECAP",VLOOKUP(B3264,#REF!,5,0),IF(A3264="SETOP",VLOOKUP(B3264,#REF!,4,0),IF(A3264="COTAÇÃO",VLOOKUP(B3264,'Mapa Cotações'!$A:$N,13,0)))))),(IF(A3264="SINAPI",VLOOKUP(B3264,#REF!,4,0),IF(A3264="SUDECAP",VLOOKUP(B3264,#REF!,5,0),IF(A3264="SETOP",VLOOKUP(B3264,#REF!,4,0),IF(A3264="COTAÇÃO",VLOOKUP(B3264,'Mapa Cotações'!$A:$N,13,0))))))))</f>
        <v/>
      </c>
      <c r="G3264" s="89" t="str">
        <f>IF(D3264="","",E3264*F3264)</f>
        <v/>
      </c>
    </row>
    <row r="3265" spans="1:7">
      <c r="A3265" s="87"/>
      <c r="B3265" s="87"/>
      <c r="C3265" s="278" t="str">
        <f>IF(B3265="","",IF($A$8="NÃO DESONERADO",(IF(A3265="SINAPI",VLOOKUP(B3265,#REF!,2,0),IF(A3265="SUDECAP",VLOOKUP(B3265,#REF!,3,0),IF(A3265="SETOP",VLOOKUP(B3265,#REF!,2,0),IF(A3265="COTAÇÃO",VLOOKUP(B3265,'Mapa Cotações'!$A:$N,2,0)))))),(IF(A3265="SINAPI",VLOOKUP(B3265,#REF!,2,0),IF(A3265="SUDECAP",VLOOKUP(B3265,#REF!,3,0),IF(A3265="SETOP",VLOOKUP(B3265,#REF!,2,0),IF(A3265="COTAÇÃO",VLOOKUP(B3265,'Mapa Cotações'!$A:$N,2,0))))))))</f>
        <v/>
      </c>
      <c r="D3265" s="89" t="str">
        <f>IF(B3265="","",IF($A$8="NÃO DESONERADO",(IF(A3265="SINAPI",VLOOKUP(B3265,#REF!,3,0),IF(A3265="SUDECAP",VLOOKUP(B3265,#REF!,4,0),IF(A3265="SETOP",VLOOKUP(B3265,#REF!,3,0),IF(A3265="COTAÇÃO",VLOOKUP(B3265,'Mapa Cotações'!$A:$N,3,0)))))),(IF(A3265="SINAPI",VLOOKUP(B3265,#REF!,3,0),IF(A3265="SUDECAP",VLOOKUP(B3265,#REF!,4,0),IF(A3265="SETOP",VLOOKUP(B3265,#REF!,3,0),IF(A3265="COTAÇÃO",VLOOKUP(B3265,'Mapa Cotações'!$A:$N,3,0))))))))</f>
        <v/>
      </c>
      <c r="E3265" s="88"/>
      <c r="F3265" s="89" t="str">
        <f>IF(B3265="","",IF($A$8="NÃO DESONERADO",(IF(A3265="SINAPI",VLOOKUP(B3265,#REF!,4,0),IF(A3265="SUDECAP",VLOOKUP(B3265,#REF!,5,0),IF(A3265="SETOP",VLOOKUP(B3265,#REF!,4,0),IF(A3265="COTAÇÃO",VLOOKUP(B3265,'Mapa Cotações'!$A:$N,13,0)))))),(IF(A3265="SINAPI",VLOOKUP(B3265,#REF!,4,0),IF(A3265="SUDECAP",VLOOKUP(B3265,#REF!,5,0),IF(A3265="SETOP",VLOOKUP(B3265,#REF!,4,0),IF(A3265="COTAÇÃO",VLOOKUP(B3265,'Mapa Cotações'!$A:$N,13,0))))))))</f>
        <v/>
      </c>
      <c r="G3265" s="89" t="str">
        <f>IF(D3265="","",E3265*F3265)</f>
        <v/>
      </c>
    </row>
    <row r="3266" spans="1:7">
      <c r="A3266" s="832" t="s">
        <v>1908</v>
      </c>
      <c r="B3266" s="833" t="s">
        <v>1908</v>
      </c>
      <c r="C3266" s="833"/>
      <c r="D3266" s="833"/>
      <c r="E3266" s="833"/>
      <c r="F3266" s="834"/>
      <c r="G3266" s="90" t="str">
        <f>IF(F3264="","",(SUM(G3264:G3265)))</f>
        <v/>
      </c>
    </row>
    <row r="3267" spans="1:7" ht="13.5" thickBot="1">
      <c r="A3267" s="91"/>
      <c r="B3267" s="92"/>
      <c r="C3267" s="163"/>
      <c r="D3267" s="99"/>
      <c r="E3267" s="100"/>
      <c r="F3267" s="101"/>
      <c r="G3267" s="102"/>
    </row>
    <row r="3268" spans="1:7" ht="13.5" thickBot="1">
      <c r="A3268" s="838" t="s">
        <v>1259</v>
      </c>
      <c r="B3268" s="839"/>
      <c r="C3268" s="839"/>
      <c r="D3268" s="839"/>
      <c r="E3268" s="839"/>
      <c r="F3268" s="840"/>
      <c r="G3268" s="103">
        <f>SUM(G3254,G3260,G3266)</f>
        <v>35306.87268</v>
      </c>
    </row>
    <row r="3270" spans="1:7">
      <c r="A3270" s="660"/>
      <c r="B3270" s="653"/>
      <c r="C3270" s="815"/>
      <c r="D3270" s="815"/>
      <c r="E3270" s="815"/>
      <c r="F3270" s="815"/>
      <c r="G3270" s="632"/>
    </row>
    <row r="3271" spans="1:7">
      <c r="A3271" s="179"/>
      <c r="B3271" s="82"/>
      <c r="C3271" s="842"/>
      <c r="D3271" s="843"/>
      <c r="E3271" s="843"/>
      <c r="F3271" s="186"/>
      <c r="G3271" s="83"/>
    </row>
    <row r="3272" spans="1:7">
      <c r="A3272" s="818"/>
      <c r="B3272" s="819"/>
      <c r="C3272" s="819"/>
      <c r="D3272" s="819"/>
      <c r="E3272" s="819"/>
      <c r="F3272" s="819"/>
      <c r="G3272" s="820"/>
    </row>
    <row r="3273" spans="1:7">
      <c r="A3273" s="633"/>
      <c r="B3273" s="633"/>
      <c r="C3273" s="649"/>
      <c r="D3273" s="633"/>
      <c r="E3273" s="634"/>
      <c r="F3273" s="635"/>
      <c r="G3273" s="635"/>
    </row>
    <row r="3274" spans="1:7">
      <c r="A3274" s="636"/>
      <c r="B3274" s="636"/>
      <c r="C3274" s="661"/>
      <c r="D3274" s="638"/>
      <c r="E3274" s="637"/>
      <c r="F3274" s="638"/>
      <c r="G3274" s="638"/>
    </row>
    <row r="3275" spans="1:7">
      <c r="A3275" s="636"/>
      <c r="B3275" s="636"/>
      <c r="C3275" s="661"/>
      <c r="D3275" s="638"/>
      <c r="E3275" s="637"/>
      <c r="F3275" s="638"/>
      <c r="G3275" s="638"/>
    </row>
    <row r="3276" spans="1:7">
      <c r="A3276" s="636"/>
      <c r="B3276" s="636"/>
      <c r="C3276" s="661"/>
      <c r="D3276" s="638"/>
      <c r="E3276" s="637"/>
      <c r="F3276" s="638"/>
      <c r="G3276" s="638"/>
    </row>
    <row r="3277" spans="1:7">
      <c r="A3277" s="636"/>
      <c r="B3277" s="636"/>
      <c r="C3277" s="661"/>
      <c r="D3277" s="638"/>
      <c r="E3277" s="637"/>
      <c r="F3277" s="638"/>
      <c r="G3277" s="638"/>
    </row>
    <row r="3278" spans="1:7">
      <c r="A3278" s="636"/>
      <c r="B3278" s="636"/>
      <c r="C3278" s="661"/>
      <c r="D3278" s="638"/>
      <c r="E3278" s="637"/>
      <c r="F3278" s="638"/>
      <c r="G3278" s="638"/>
    </row>
    <row r="3279" spans="1:7">
      <c r="A3279" s="636"/>
      <c r="B3279" s="636"/>
      <c r="C3279" s="661"/>
      <c r="D3279" s="638"/>
      <c r="E3279" s="637"/>
      <c r="F3279" s="638"/>
      <c r="G3279" s="638"/>
    </row>
    <row r="3280" spans="1:7">
      <c r="A3280" s="821"/>
      <c r="B3280" s="822"/>
      <c r="C3280" s="822"/>
      <c r="D3280" s="822"/>
      <c r="E3280" s="822"/>
      <c r="F3280" s="823"/>
      <c r="G3280" s="613"/>
    </row>
    <row r="3281" spans="1:7">
      <c r="A3281" s="639"/>
      <c r="B3281" s="640"/>
      <c r="C3281" s="161"/>
      <c r="D3281" s="93"/>
      <c r="E3281" s="94"/>
      <c r="F3281" s="95"/>
      <c r="G3281" s="641"/>
    </row>
    <row r="3282" spans="1:7">
      <c r="A3282" s="824"/>
      <c r="B3282" s="825"/>
      <c r="C3282" s="825"/>
      <c r="D3282" s="825"/>
      <c r="E3282" s="825"/>
      <c r="F3282" s="825"/>
      <c r="G3282" s="826"/>
    </row>
    <row r="3283" spans="1:7">
      <c r="A3283" s="633"/>
      <c r="B3283" s="633"/>
      <c r="C3283" s="649"/>
      <c r="D3283" s="633"/>
      <c r="E3283" s="634"/>
      <c r="F3283" s="635"/>
      <c r="G3283" s="635"/>
    </row>
    <row r="3284" spans="1:7">
      <c r="A3284" s="636"/>
      <c r="B3284" s="636"/>
      <c r="C3284" s="661"/>
      <c r="D3284" s="638"/>
      <c r="E3284" s="637"/>
      <c r="F3284" s="638"/>
      <c r="G3284" s="638"/>
    </row>
    <row r="3285" spans="1:7">
      <c r="A3285" s="636"/>
      <c r="B3285" s="636"/>
      <c r="C3285" s="661"/>
      <c r="D3285" s="638"/>
      <c r="E3285" s="637"/>
      <c r="F3285" s="638"/>
      <c r="G3285" s="638"/>
    </row>
    <row r="3286" spans="1:7">
      <c r="A3286" s="821"/>
      <c r="B3286" s="822"/>
      <c r="C3286" s="822"/>
      <c r="D3286" s="822"/>
      <c r="E3286" s="822"/>
      <c r="F3286" s="823"/>
      <c r="G3286" s="613"/>
    </row>
    <row r="3287" spans="1:7">
      <c r="A3287" s="639"/>
      <c r="B3287" s="640"/>
      <c r="C3287" s="650"/>
      <c r="D3287" s="640"/>
      <c r="E3287" s="642"/>
      <c r="F3287" s="643"/>
      <c r="G3287" s="641"/>
    </row>
    <row r="3288" spans="1:7">
      <c r="A3288" s="824"/>
      <c r="B3288" s="825"/>
      <c r="C3288" s="825"/>
      <c r="D3288" s="825"/>
      <c r="E3288" s="825"/>
      <c r="F3288" s="825"/>
      <c r="G3288" s="826"/>
    </row>
    <row r="3289" spans="1:7">
      <c r="A3289" s="633"/>
      <c r="B3289" s="633"/>
      <c r="C3289" s="649"/>
      <c r="D3289" s="633"/>
      <c r="E3289" s="634"/>
      <c r="F3289" s="635"/>
      <c r="G3289" s="635"/>
    </row>
    <row r="3290" spans="1:7">
      <c r="A3290" s="636"/>
      <c r="B3290" s="636"/>
      <c r="C3290" s="661"/>
      <c r="D3290" s="638"/>
      <c r="E3290" s="637"/>
      <c r="F3290" s="638"/>
      <c r="G3290" s="638"/>
    </row>
    <row r="3291" spans="1:7">
      <c r="A3291" s="636"/>
      <c r="B3291" s="636"/>
      <c r="C3291" s="661"/>
      <c r="D3291" s="638"/>
      <c r="E3291" s="637"/>
      <c r="F3291" s="638"/>
      <c r="G3291" s="638"/>
    </row>
    <row r="3292" spans="1:7">
      <c r="A3292" s="821"/>
      <c r="B3292" s="822"/>
      <c r="C3292" s="822"/>
      <c r="D3292" s="822"/>
      <c r="E3292" s="822"/>
      <c r="F3292" s="823"/>
      <c r="G3292" s="613"/>
    </row>
    <row r="3293" spans="1:7" ht="13.5" thickBot="1">
      <c r="A3293" s="639"/>
      <c r="B3293" s="640"/>
      <c r="C3293" s="651"/>
      <c r="D3293" s="644"/>
      <c r="E3293" s="645"/>
      <c r="F3293" s="646"/>
      <c r="G3293" s="647"/>
    </row>
    <row r="3294" spans="1:7" ht="13.5" thickBot="1">
      <c r="A3294" s="827"/>
      <c r="B3294" s="828"/>
      <c r="C3294" s="828"/>
      <c r="D3294" s="828"/>
      <c r="E3294" s="828"/>
      <c r="F3294" s="829"/>
      <c r="G3294" s="103"/>
    </row>
    <row r="3297" spans="1:11">
      <c r="A3297" s="237" t="s">
        <v>131</v>
      </c>
      <c r="B3297" s="190" t="s">
        <v>27</v>
      </c>
      <c r="C3297" s="841" t="s">
        <v>1281</v>
      </c>
      <c r="D3297" s="841"/>
      <c r="E3297" s="841"/>
      <c r="F3297" s="841"/>
      <c r="G3297" s="81" t="s">
        <v>127</v>
      </c>
      <c r="I3297" s="480" t="s">
        <v>1901</v>
      </c>
      <c r="J3297" s="80"/>
      <c r="K3297" s="80"/>
    </row>
    <row r="3298" spans="1:11" ht="39.950000000000003" customHeight="1">
      <c r="A3298" s="179" t="s">
        <v>1026</v>
      </c>
      <c r="B3298" s="82"/>
      <c r="C3298" s="842" t="s">
        <v>3043</v>
      </c>
      <c r="D3298" s="843"/>
      <c r="E3298" s="843"/>
      <c r="F3298" s="186">
        <f>G3322</f>
        <v>35306.87268</v>
      </c>
      <c r="G3298" s="83" t="s">
        <v>167</v>
      </c>
      <c r="I3298" s="481"/>
      <c r="J3298" s="272"/>
      <c r="K3298" s="272"/>
    </row>
    <row r="3299" spans="1:11">
      <c r="A3299" s="818" t="s">
        <v>1902</v>
      </c>
      <c r="B3299" s="819"/>
      <c r="C3299" s="819"/>
      <c r="D3299" s="819"/>
      <c r="E3299" s="819"/>
      <c r="F3299" s="819"/>
      <c r="G3299" s="820"/>
    </row>
    <row r="3300" spans="1:11">
      <c r="A3300" s="84" t="s">
        <v>1903</v>
      </c>
      <c r="B3300" s="84" t="s">
        <v>131</v>
      </c>
      <c r="C3300" s="160" t="s">
        <v>1904</v>
      </c>
      <c r="D3300" s="84" t="s">
        <v>167</v>
      </c>
      <c r="E3300" s="85" t="s">
        <v>1905</v>
      </c>
      <c r="F3300" s="86" t="s">
        <v>1906</v>
      </c>
      <c r="G3300" s="86" t="s">
        <v>1907</v>
      </c>
    </row>
    <row r="3301" spans="1:11" ht="36" customHeight="1">
      <c r="A3301" s="87" t="s">
        <v>1917</v>
      </c>
      <c r="B3301" s="187" t="s">
        <v>2102</v>
      </c>
      <c r="C3301" s="475" t="str">
        <f>IF(B3301="","",IF($A$8="NÃO DESONERADO",(IF(A3301="SINAPI",VLOOKUP(B3301,#REF!,2,0),IF(A3301="SUDECAP",VLOOKUP(B3301,#REF!,3,0),IF(A3301="SETOP",VLOOKUP(B3301,#REF!,2,0),IF(A3301="COTAÇÃO",VLOOKUP(B3301,'Mapa Cotações'!$A:$N,2,0)))))),(IF(A3301="SINAPI",VLOOKUP(B3301,#REF!,2,0),IF(A3301="SUDECAP",VLOOKUP(B3301,#REF!,3,0),IF(A3301="SETOP",VLOOKUP(B3301,#REF!,2,0),IF(A3301="COTAÇÃO",VLOOKUP(B3301,'Mapa Cotações'!$A:$N,2,0))))))))</f>
        <v>UNIDADE CONDICIONADORA DE AR TIPO "FAN-COIL" MODELO VORTEX 15 TR, GABINETE VERTICAL, DESCARGA VERTICAL PARA CIMA, VENTILADOR SIROCCO -FC-03 3B.                                                                                  CAPACIDADE NOMINAL = 44,19 KW (12,56)
CAPACIDADE SENSÍVEL = 28,29 KW 
VAZÃO DE AR INSUFLADO = 9470 M3/H
PRESSÃO ESTÁTICA EXTERNA = 30 MMCA
TEMPERATURA DO AR DE ENTRADA SERPENTINA (BS/BU) = 25/19,1°C  / TEMPERATURA DA ÁGUA GELADA ENT/SAÍDA = 7,0/12,5 °C  
VAZÃO DE ÁGUA GELADA = 7,28 M3/H
PERDA DE CARGA NA SERPENTINA = 2,56 MCA
NÚMERO DE ROWS = 4  / NÚMERO DE CIRCUITOS = 13
NÚMERO DE TUBOS = 26  / DIÂMETRO DO TUBO = 1/2"  
NÚMERO DE ALETAS POR POLEGADA = 9 / DIÂMETRO DA CONEXÃO = 11/4" 
LADO HIDRÁULICA = DIREITA (VISTO FRENTE AO FILTRO DE AR )
POTÊNCIA MOTOR ELÉTRICO = 4,0 CV (220V/3F/60HZ) 
DIMENSÕES DA UNIDADE (A/L/P) = 1609/1849/671 MM / PESO DA UNIDADE = 229 KG                                                                                                                                                                                                                                         OBS.: EQUIPAMENTO DOTADO DE FILTRO DE AR CLASSE M5
REF.: CARRIER OU EQUIVALENTE</v>
      </c>
      <c r="D3301" s="89" t="str">
        <f>IF(B3301="","",IF($A$8="NÃO DESONERADO",(IF(A3301="SINAPI",VLOOKUP(B3301,#REF!,3,0),IF(A3301="SUDECAP",VLOOKUP(B3301,#REF!,4,0),IF(A3301="SETOP",VLOOKUP(B3301,#REF!,3,0),IF(A3301="COTAÇÃO",VLOOKUP(B3301,'Mapa Cotações'!$A:$N,3,0)))))),(IF(A3301="SINAPI",VLOOKUP(B3301,#REF!,3,0),IF(A3301="SUDECAP",VLOOKUP(B3301,#REF!,4,0),IF(A3301="SETOP",VLOOKUP(B3301,#REF!,3,0),IF(A3301="COTAÇÃO",VLOOKUP(B3301,'Mapa Cotações'!$A:$N,3,0))))))))</f>
        <v>UN</v>
      </c>
      <c r="E3301" s="88">
        <v>1</v>
      </c>
      <c r="F3301" s="89">
        <f>IF(B3301="","",IF($A$8="NÃO DESONERADO",(IF(A3301="SINAPI",VLOOKUP(B3301,#REF!,4,0),IF(A3301="SUDECAP",VLOOKUP(B3301,#REF!,5,0),IF(A3301="SETOP",VLOOKUP(B3301,#REF!,4,0),IF(A3301="COTAÇÃO",VLOOKUP(B3301,'Mapa Cotações'!$A:$N,13,0)))))),(IF(A3301="SINAPI",VLOOKUP(B3301,#REF!,4,0),IF(A3301="SUDECAP",VLOOKUP(B3301,#REF!,5,0),IF(A3301="SETOP",VLOOKUP(B3301,#REF!,4,0),IF(A3301="COTAÇÃO",VLOOKUP(B3301,'Mapa Cotações'!$A:$N,13,0))))))))</f>
        <v>33725.64</v>
      </c>
      <c r="G3301" s="89">
        <f>IF(D3301="","",E3301*F3301)</f>
        <v>33725.64</v>
      </c>
    </row>
    <row r="3302" spans="1:11" ht="36">
      <c r="A3302" s="636" t="s">
        <v>2</v>
      </c>
      <c r="B3302" s="636">
        <v>1570</v>
      </c>
      <c r="C3302" s="661" t="s">
        <v>2094</v>
      </c>
      <c r="D3302" s="638" t="s">
        <v>1932</v>
      </c>
      <c r="E3302" s="637">
        <v>10</v>
      </c>
      <c r="F3302" s="638">
        <v>1.46</v>
      </c>
      <c r="G3302" s="638">
        <f t="shared" ref="G3302:G3307" si="51">IF(D3302="","",E3302*F3302)</f>
        <v>14.6</v>
      </c>
    </row>
    <row r="3303" spans="1:11">
      <c r="A3303" s="636" t="s">
        <v>2</v>
      </c>
      <c r="B3303" s="636">
        <v>4374</v>
      </c>
      <c r="C3303" s="661" t="s">
        <v>2095</v>
      </c>
      <c r="D3303" s="638" t="s">
        <v>1932</v>
      </c>
      <c r="E3303" s="637">
        <v>6</v>
      </c>
      <c r="F3303" s="638">
        <v>0.44</v>
      </c>
      <c r="G3303" s="638">
        <f t="shared" si="51"/>
        <v>2.64</v>
      </c>
    </row>
    <row r="3304" spans="1:11" ht="24">
      <c r="A3304" s="636" t="s">
        <v>2</v>
      </c>
      <c r="B3304" s="636">
        <v>11976</v>
      </c>
      <c r="C3304" s="661" t="s">
        <v>2096</v>
      </c>
      <c r="D3304" s="638" t="s">
        <v>1932</v>
      </c>
      <c r="E3304" s="637">
        <v>6</v>
      </c>
      <c r="F3304" s="638">
        <v>1.64</v>
      </c>
      <c r="G3304" s="638">
        <f t="shared" si="51"/>
        <v>9.84</v>
      </c>
    </row>
    <row r="3305" spans="1:11" ht="36">
      <c r="A3305" s="636" t="s">
        <v>2</v>
      </c>
      <c r="B3305" s="636">
        <v>13246</v>
      </c>
      <c r="C3305" s="661" t="s">
        <v>2097</v>
      </c>
      <c r="D3305" s="638" t="s">
        <v>1932</v>
      </c>
      <c r="E3305" s="637">
        <v>6</v>
      </c>
      <c r="F3305" s="638">
        <v>0.61</v>
      </c>
      <c r="G3305" s="638">
        <f t="shared" si="51"/>
        <v>3.66</v>
      </c>
    </row>
    <row r="3306" spans="1:11" ht="24">
      <c r="A3306" s="636" t="s">
        <v>2</v>
      </c>
      <c r="B3306" s="636">
        <v>13348</v>
      </c>
      <c r="C3306" s="661" t="s">
        <v>2098</v>
      </c>
      <c r="D3306" s="638" t="s">
        <v>1932</v>
      </c>
      <c r="E3306" s="637">
        <v>6</v>
      </c>
      <c r="F3306" s="638">
        <v>1.79</v>
      </c>
      <c r="G3306" s="638">
        <f t="shared" si="51"/>
        <v>10.74</v>
      </c>
    </row>
    <row r="3307" spans="1:11" ht="24">
      <c r="A3307" s="636" t="s">
        <v>2</v>
      </c>
      <c r="B3307" s="636">
        <v>37591</v>
      </c>
      <c r="C3307" s="661" t="s">
        <v>2099</v>
      </c>
      <c r="D3307" s="638" t="s">
        <v>1932</v>
      </c>
      <c r="E3307" s="637">
        <v>2</v>
      </c>
      <c r="F3307" s="638">
        <v>20.059999999999999</v>
      </c>
      <c r="G3307" s="638">
        <f t="shared" si="51"/>
        <v>40.119999999999997</v>
      </c>
    </row>
    <row r="3308" spans="1:11">
      <c r="A3308" s="832" t="s">
        <v>1908</v>
      </c>
      <c r="B3308" s="833"/>
      <c r="C3308" s="833"/>
      <c r="D3308" s="833"/>
      <c r="E3308" s="833"/>
      <c r="F3308" s="834"/>
      <c r="G3308" s="90">
        <f>IF(F3301="","",(SUM(G3301:G3307)))</f>
        <v>33807.24</v>
      </c>
    </row>
    <row r="3309" spans="1:11">
      <c r="A3309" s="91"/>
      <c r="B3309" s="92"/>
      <c r="C3309" s="161"/>
      <c r="D3309" s="93"/>
      <c r="E3309" s="94"/>
      <c r="F3309" s="95"/>
      <c r="G3309" s="96"/>
    </row>
    <row r="3310" spans="1:11">
      <c r="A3310" s="835" t="s">
        <v>1909</v>
      </c>
      <c r="B3310" s="836"/>
      <c r="C3310" s="836"/>
      <c r="D3310" s="836"/>
      <c r="E3310" s="836"/>
      <c r="F3310" s="836"/>
      <c r="G3310" s="837"/>
    </row>
    <row r="3311" spans="1:11">
      <c r="A3311" s="84" t="s">
        <v>1903</v>
      </c>
      <c r="B3311" s="84" t="s">
        <v>131</v>
      </c>
      <c r="C3311" s="160" t="s">
        <v>1904</v>
      </c>
      <c r="D3311" s="84" t="s">
        <v>167</v>
      </c>
      <c r="E3311" s="85" t="s">
        <v>1905</v>
      </c>
      <c r="F3311" s="86" t="s">
        <v>1906</v>
      </c>
      <c r="G3311" s="86" t="s">
        <v>1907</v>
      </c>
    </row>
    <row r="3312" spans="1:11" ht="24">
      <c r="A3312" s="636" t="s">
        <v>2</v>
      </c>
      <c r="B3312" s="636">
        <v>88243</v>
      </c>
      <c r="C3312" s="661" t="s">
        <v>2100</v>
      </c>
      <c r="D3312" s="638" t="s">
        <v>137</v>
      </c>
      <c r="E3312" s="637">
        <f>1.9864*15</f>
        <v>29.795999999999999</v>
      </c>
      <c r="F3312" s="638">
        <v>24.36</v>
      </c>
      <c r="G3312" s="638">
        <f>IF(D3312="","",E3312*F3312)</f>
        <v>725.83055999999999</v>
      </c>
    </row>
    <row r="3313" spans="1:7" ht="24">
      <c r="A3313" s="636" t="s">
        <v>2</v>
      </c>
      <c r="B3313" s="636">
        <v>100308</v>
      </c>
      <c r="C3313" s="661" t="s">
        <v>1936</v>
      </c>
      <c r="D3313" s="638" t="s">
        <v>137</v>
      </c>
      <c r="E3313" s="637">
        <f>1.9864*15</f>
        <v>29.795999999999999</v>
      </c>
      <c r="F3313" s="638">
        <v>25.97</v>
      </c>
      <c r="G3313" s="638">
        <f>IF(D3313="","",E3313*F3313)</f>
        <v>773.80211999999995</v>
      </c>
    </row>
    <row r="3314" spans="1:7">
      <c r="A3314" s="832" t="s">
        <v>1908</v>
      </c>
      <c r="B3314" s="833"/>
      <c r="C3314" s="833"/>
      <c r="D3314" s="833"/>
      <c r="E3314" s="833"/>
      <c r="F3314" s="834"/>
      <c r="G3314" s="90">
        <f>IF(F3312="","",(SUM(G3312:G3313)))</f>
        <v>1499.6326799999999</v>
      </c>
    </row>
    <row r="3315" spans="1:7">
      <c r="A3315" s="91"/>
      <c r="B3315" s="92"/>
      <c r="C3315" s="162"/>
      <c r="D3315" s="92"/>
      <c r="E3315" s="97"/>
      <c r="F3315" s="98"/>
      <c r="G3315" s="96"/>
    </row>
    <row r="3316" spans="1:7">
      <c r="A3316" s="835" t="s">
        <v>1912</v>
      </c>
      <c r="B3316" s="836"/>
      <c r="C3316" s="836"/>
      <c r="D3316" s="836"/>
      <c r="E3316" s="836"/>
      <c r="F3316" s="836"/>
      <c r="G3316" s="837"/>
    </row>
    <row r="3317" spans="1:7">
      <c r="A3317" s="84" t="s">
        <v>1903</v>
      </c>
      <c r="B3317" s="84" t="s">
        <v>131</v>
      </c>
      <c r="C3317" s="160" t="s">
        <v>1904</v>
      </c>
      <c r="D3317" s="84" t="s">
        <v>167</v>
      </c>
      <c r="E3317" s="85" t="s">
        <v>1905</v>
      </c>
      <c r="F3317" s="86" t="s">
        <v>1906</v>
      </c>
      <c r="G3317" s="86" t="s">
        <v>1907</v>
      </c>
    </row>
    <row r="3318" spans="1:7">
      <c r="A3318" s="87"/>
      <c r="B3318" s="87"/>
      <c r="C3318" s="278" t="str">
        <f>IF(B3318="","",IF($A$8="NÃO DESONERADO",(IF(A3318="SINAPI",VLOOKUP(B3318,#REF!,2,0),IF(A3318="SUDECAP",VLOOKUP(B3318,#REF!,3,0),IF(A3318="SETOP",VLOOKUP(B3318,#REF!,2,0),IF(A3318="COTAÇÃO",VLOOKUP(B3318,'Mapa Cotações'!$A:$N,2,0)))))),(IF(A3318="SINAPI",VLOOKUP(B3318,#REF!,2,0),IF(A3318="SUDECAP",VLOOKUP(B3318,#REF!,3,0),IF(A3318="SETOP",VLOOKUP(B3318,#REF!,2,0),IF(A3318="COTAÇÃO",VLOOKUP(B3318,'Mapa Cotações'!$A:$N,2,0))))))))</f>
        <v/>
      </c>
      <c r="D3318" s="89" t="str">
        <f>IF(B3318="","",IF($A$8="NÃO DESONERADO",(IF(A3318="SINAPI",VLOOKUP(B3318,#REF!,3,0),IF(A3318="SUDECAP",VLOOKUP(B3318,#REF!,4,0),IF(A3318="SETOP",VLOOKUP(B3318,#REF!,3,0),IF(A3318="COTAÇÃO",VLOOKUP(B3318,'Mapa Cotações'!$A:$N,3,0)))))),(IF(A3318="SINAPI",VLOOKUP(B3318,#REF!,3,0),IF(A3318="SUDECAP",VLOOKUP(B3318,#REF!,4,0),IF(A3318="SETOP",VLOOKUP(B3318,#REF!,3,0),IF(A3318="COTAÇÃO",VLOOKUP(B3318,'Mapa Cotações'!$A:$N,3,0))))))))</f>
        <v/>
      </c>
      <c r="E3318" s="88"/>
      <c r="F3318" s="89" t="str">
        <f>IF(B3318="","",IF($A$8="NÃO DESONERADO",(IF(A3318="SINAPI",VLOOKUP(B3318,#REF!,4,0),IF(A3318="SUDECAP",VLOOKUP(B3318,#REF!,5,0),IF(A3318="SETOP",VLOOKUP(B3318,#REF!,4,0),IF(A3318="COTAÇÃO",VLOOKUP(B3318,'Mapa Cotações'!$A:$N,13,0)))))),(IF(A3318="SINAPI",VLOOKUP(B3318,#REF!,4,0),IF(A3318="SUDECAP",VLOOKUP(B3318,#REF!,5,0),IF(A3318="SETOP",VLOOKUP(B3318,#REF!,4,0),IF(A3318="COTAÇÃO",VLOOKUP(B3318,'Mapa Cotações'!$A:$N,13,0))))))))</f>
        <v/>
      </c>
      <c r="G3318" s="89" t="str">
        <f>IF(D3318="","",E3318*F3318)</f>
        <v/>
      </c>
    </row>
    <row r="3319" spans="1:7">
      <c r="A3319" s="87"/>
      <c r="B3319" s="87"/>
      <c r="C3319" s="278" t="str">
        <f>IF(B3319="","",IF($A$8="NÃO DESONERADO",(IF(A3319="SINAPI",VLOOKUP(B3319,#REF!,2,0),IF(A3319="SUDECAP",VLOOKUP(B3319,#REF!,3,0),IF(A3319="SETOP",VLOOKUP(B3319,#REF!,2,0),IF(A3319="COTAÇÃO",VLOOKUP(B3319,'Mapa Cotações'!$A:$N,2,0)))))),(IF(A3319="SINAPI",VLOOKUP(B3319,#REF!,2,0),IF(A3319="SUDECAP",VLOOKUP(B3319,#REF!,3,0),IF(A3319="SETOP",VLOOKUP(B3319,#REF!,2,0),IF(A3319="COTAÇÃO",VLOOKUP(B3319,'Mapa Cotações'!$A:$N,2,0))))))))</f>
        <v/>
      </c>
      <c r="D3319" s="89" t="str">
        <f>IF(B3319="","",IF($A$8="NÃO DESONERADO",(IF(A3319="SINAPI",VLOOKUP(B3319,#REF!,3,0),IF(A3319="SUDECAP",VLOOKUP(B3319,#REF!,4,0),IF(A3319="SETOP",VLOOKUP(B3319,#REF!,3,0),IF(A3319="COTAÇÃO",VLOOKUP(B3319,'Mapa Cotações'!$A:$N,3,0)))))),(IF(A3319="SINAPI",VLOOKUP(B3319,#REF!,3,0),IF(A3319="SUDECAP",VLOOKUP(B3319,#REF!,4,0),IF(A3319="SETOP",VLOOKUP(B3319,#REF!,3,0),IF(A3319="COTAÇÃO",VLOOKUP(B3319,'Mapa Cotações'!$A:$N,3,0))))))))</f>
        <v/>
      </c>
      <c r="E3319" s="88"/>
      <c r="F3319" s="89" t="str">
        <f>IF(B3319="","",IF($A$8="NÃO DESONERADO",(IF(A3319="SINAPI",VLOOKUP(B3319,#REF!,4,0),IF(A3319="SUDECAP",VLOOKUP(B3319,#REF!,5,0),IF(A3319="SETOP",VLOOKUP(B3319,#REF!,4,0),IF(A3319="COTAÇÃO",VLOOKUP(B3319,'Mapa Cotações'!$A:$N,13,0)))))),(IF(A3319="SINAPI",VLOOKUP(B3319,#REF!,4,0),IF(A3319="SUDECAP",VLOOKUP(B3319,#REF!,5,0),IF(A3319="SETOP",VLOOKUP(B3319,#REF!,4,0),IF(A3319="COTAÇÃO",VLOOKUP(B3319,'Mapa Cotações'!$A:$N,13,0))))))))</f>
        <v/>
      </c>
      <c r="G3319" s="89" t="str">
        <f>IF(D3319="","",E3319*F3319)</f>
        <v/>
      </c>
    </row>
    <row r="3320" spans="1:7">
      <c r="A3320" s="832" t="s">
        <v>1908</v>
      </c>
      <c r="B3320" s="833" t="s">
        <v>1908</v>
      </c>
      <c r="C3320" s="833"/>
      <c r="D3320" s="833"/>
      <c r="E3320" s="833"/>
      <c r="F3320" s="834"/>
      <c r="G3320" s="90" t="str">
        <f>IF(F3318="","",(SUM(G3318:G3319)))</f>
        <v/>
      </c>
    </row>
    <row r="3321" spans="1:7" ht="13.5" thickBot="1">
      <c r="A3321" s="91"/>
      <c r="B3321" s="92"/>
      <c r="C3321" s="163"/>
      <c r="D3321" s="99"/>
      <c r="E3321" s="100"/>
      <c r="F3321" s="101"/>
      <c r="G3321" s="102"/>
    </row>
    <row r="3322" spans="1:7" ht="13.5" thickBot="1">
      <c r="A3322" s="838" t="s">
        <v>1259</v>
      </c>
      <c r="B3322" s="839"/>
      <c r="C3322" s="839"/>
      <c r="D3322" s="839"/>
      <c r="E3322" s="839"/>
      <c r="F3322" s="840"/>
      <c r="G3322" s="103">
        <f>SUM(G3308,G3314,G3320)</f>
        <v>35306.87268</v>
      </c>
    </row>
    <row r="3324" spans="1:7">
      <c r="A3324" s="660"/>
      <c r="B3324" s="653"/>
      <c r="C3324" s="815"/>
      <c r="D3324" s="815"/>
      <c r="E3324" s="815"/>
      <c r="F3324" s="815"/>
      <c r="G3324" s="632"/>
    </row>
    <row r="3325" spans="1:7">
      <c r="A3325" s="179"/>
      <c r="B3325" s="82"/>
      <c r="C3325" s="842"/>
      <c r="D3325" s="843"/>
      <c r="E3325" s="843"/>
      <c r="F3325" s="186"/>
      <c r="G3325" s="83"/>
    </row>
    <row r="3326" spans="1:7">
      <c r="A3326" s="818"/>
      <c r="B3326" s="819"/>
      <c r="C3326" s="819"/>
      <c r="D3326" s="819"/>
      <c r="E3326" s="819"/>
      <c r="F3326" s="819"/>
      <c r="G3326" s="820"/>
    </row>
    <row r="3327" spans="1:7">
      <c r="A3327" s="633"/>
      <c r="B3327" s="633"/>
      <c r="C3327" s="649"/>
      <c r="D3327" s="633"/>
      <c r="E3327" s="634"/>
      <c r="F3327" s="635"/>
      <c r="G3327" s="635"/>
    </row>
    <row r="3328" spans="1:7">
      <c r="A3328" s="636"/>
      <c r="B3328" s="636"/>
      <c r="C3328" s="661"/>
      <c r="D3328" s="638"/>
      <c r="E3328" s="637"/>
      <c r="F3328" s="638"/>
      <c r="G3328" s="638"/>
    </row>
    <row r="3329" spans="1:7">
      <c r="A3329" s="636"/>
      <c r="B3329" s="636"/>
      <c r="C3329" s="661"/>
      <c r="D3329" s="638"/>
      <c r="E3329" s="637"/>
      <c r="F3329" s="638"/>
      <c r="G3329" s="638"/>
    </row>
    <row r="3330" spans="1:7">
      <c r="A3330" s="636"/>
      <c r="B3330" s="636"/>
      <c r="C3330" s="661"/>
      <c r="D3330" s="638"/>
      <c r="E3330" s="637"/>
      <c r="F3330" s="638"/>
      <c r="G3330" s="638"/>
    </row>
    <row r="3331" spans="1:7">
      <c r="A3331" s="636"/>
      <c r="B3331" s="636"/>
      <c r="C3331" s="661"/>
      <c r="D3331" s="638"/>
      <c r="E3331" s="637"/>
      <c r="F3331" s="638"/>
      <c r="G3331" s="638"/>
    </row>
    <row r="3332" spans="1:7">
      <c r="A3332" s="636"/>
      <c r="B3332" s="636"/>
      <c r="C3332" s="661"/>
      <c r="D3332" s="638"/>
      <c r="E3332" s="637"/>
      <c r="F3332" s="638"/>
      <c r="G3332" s="638"/>
    </row>
    <row r="3333" spans="1:7">
      <c r="A3333" s="636"/>
      <c r="B3333" s="636"/>
      <c r="C3333" s="661"/>
      <c r="D3333" s="638"/>
      <c r="E3333" s="637"/>
      <c r="F3333" s="638"/>
      <c r="G3333" s="638"/>
    </row>
    <row r="3334" spans="1:7">
      <c r="A3334" s="821"/>
      <c r="B3334" s="822"/>
      <c r="C3334" s="822"/>
      <c r="D3334" s="822"/>
      <c r="E3334" s="822"/>
      <c r="F3334" s="823"/>
      <c r="G3334" s="613"/>
    </row>
    <row r="3335" spans="1:7">
      <c r="A3335" s="639"/>
      <c r="B3335" s="640"/>
      <c r="C3335" s="161"/>
      <c r="D3335" s="93"/>
      <c r="E3335" s="94"/>
      <c r="F3335" s="95"/>
      <c r="G3335" s="641"/>
    </row>
    <row r="3336" spans="1:7">
      <c r="A3336" s="824"/>
      <c r="B3336" s="825"/>
      <c r="C3336" s="825"/>
      <c r="D3336" s="825"/>
      <c r="E3336" s="825"/>
      <c r="F3336" s="825"/>
      <c r="G3336" s="826"/>
    </row>
    <row r="3337" spans="1:7">
      <c r="A3337" s="633"/>
      <c r="B3337" s="633"/>
      <c r="C3337" s="649"/>
      <c r="D3337" s="633"/>
      <c r="E3337" s="634"/>
      <c r="F3337" s="635"/>
      <c r="G3337" s="635"/>
    </row>
    <row r="3338" spans="1:7">
      <c r="A3338" s="636"/>
      <c r="B3338" s="636"/>
      <c r="C3338" s="661"/>
      <c r="D3338" s="638"/>
      <c r="E3338" s="637"/>
      <c r="F3338" s="638"/>
      <c r="G3338" s="638"/>
    </row>
    <row r="3339" spans="1:7">
      <c r="A3339" s="636"/>
      <c r="B3339" s="636"/>
      <c r="C3339" s="661"/>
      <c r="D3339" s="638"/>
      <c r="E3339" s="637"/>
      <c r="F3339" s="638"/>
      <c r="G3339" s="638"/>
    </row>
    <row r="3340" spans="1:7">
      <c r="A3340" s="821"/>
      <c r="B3340" s="822"/>
      <c r="C3340" s="822"/>
      <c r="D3340" s="822"/>
      <c r="E3340" s="822"/>
      <c r="F3340" s="823"/>
      <c r="G3340" s="613"/>
    </row>
    <row r="3341" spans="1:7">
      <c r="A3341" s="639"/>
      <c r="B3341" s="640"/>
      <c r="C3341" s="650"/>
      <c r="D3341" s="640"/>
      <c r="E3341" s="642"/>
      <c r="F3341" s="643"/>
      <c r="G3341" s="641"/>
    </row>
    <row r="3342" spans="1:7">
      <c r="A3342" s="824"/>
      <c r="B3342" s="825"/>
      <c r="C3342" s="825"/>
      <c r="D3342" s="825"/>
      <c r="E3342" s="825"/>
      <c r="F3342" s="825"/>
      <c r="G3342" s="826"/>
    </row>
    <row r="3343" spans="1:7">
      <c r="A3343" s="633"/>
      <c r="B3343" s="633"/>
      <c r="C3343" s="649"/>
      <c r="D3343" s="633"/>
      <c r="E3343" s="634"/>
      <c r="F3343" s="635"/>
      <c r="G3343" s="635"/>
    </row>
    <row r="3344" spans="1:7">
      <c r="A3344" s="636"/>
      <c r="B3344" s="636"/>
      <c r="C3344" s="661"/>
      <c r="D3344" s="638"/>
      <c r="E3344" s="637"/>
      <c r="F3344" s="638"/>
      <c r="G3344" s="638"/>
    </row>
    <row r="3345" spans="1:11">
      <c r="A3345" s="636"/>
      <c r="B3345" s="636"/>
      <c r="C3345" s="661"/>
      <c r="D3345" s="638"/>
      <c r="E3345" s="637"/>
      <c r="F3345" s="638"/>
      <c r="G3345" s="638"/>
    </row>
    <row r="3346" spans="1:11">
      <c r="A3346" s="821"/>
      <c r="B3346" s="822"/>
      <c r="C3346" s="822"/>
      <c r="D3346" s="822"/>
      <c r="E3346" s="822"/>
      <c r="F3346" s="823"/>
      <c r="G3346" s="613"/>
    </row>
    <row r="3347" spans="1:11" ht="13.5" thickBot="1">
      <c r="A3347" s="639"/>
      <c r="B3347" s="640"/>
      <c r="C3347" s="651"/>
      <c r="D3347" s="644"/>
      <c r="E3347" s="645"/>
      <c r="F3347" s="646"/>
      <c r="G3347" s="647"/>
    </row>
    <row r="3348" spans="1:11" ht="13.5" thickBot="1">
      <c r="A3348" s="827"/>
      <c r="B3348" s="828"/>
      <c r="C3348" s="828"/>
      <c r="D3348" s="828"/>
      <c r="E3348" s="828"/>
      <c r="F3348" s="829"/>
      <c r="G3348" s="103"/>
    </row>
    <row r="3351" spans="1:11">
      <c r="A3351" s="237" t="s">
        <v>131</v>
      </c>
      <c r="B3351" s="190" t="s">
        <v>27</v>
      </c>
      <c r="C3351" s="841" t="s">
        <v>1281</v>
      </c>
      <c r="D3351" s="841"/>
      <c r="E3351" s="841"/>
      <c r="F3351" s="841"/>
      <c r="G3351" s="81" t="s">
        <v>127</v>
      </c>
      <c r="I3351" s="480" t="s">
        <v>1901</v>
      </c>
      <c r="J3351" s="80"/>
      <c r="K3351" s="80"/>
    </row>
    <row r="3352" spans="1:11" ht="39.950000000000003" customHeight="1">
      <c r="A3352" s="179" t="s">
        <v>1029</v>
      </c>
      <c r="B3352" s="82"/>
      <c r="C3352" s="842" t="s">
        <v>2990</v>
      </c>
      <c r="D3352" s="843"/>
      <c r="E3352" s="843"/>
      <c r="F3352" s="186">
        <f>G3376</f>
        <v>66190.172919999997</v>
      </c>
      <c r="G3352" s="83" t="s">
        <v>167</v>
      </c>
      <c r="I3352" s="481"/>
      <c r="J3352" s="272"/>
      <c r="K3352" s="272"/>
    </row>
    <row r="3353" spans="1:11">
      <c r="A3353" s="818" t="s">
        <v>1902</v>
      </c>
      <c r="B3353" s="819"/>
      <c r="C3353" s="819"/>
      <c r="D3353" s="819"/>
      <c r="E3353" s="819"/>
      <c r="F3353" s="819"/>
      <c r="G3353" s="820"/>
    </row>
    <row r="3354" spans="1:11">
      <c r="A3354" s="84" t="s">
        <v>1903</v>
      </c>
      <c r="B3354" s="84" t="s">
        <v>131</v>
      </c>
      <c r="C3354" s="160" t="s">
        <v>1904</v>
      </c>
      <c r="D3354" s="84" t="s">
        <v>167</v>
      </c>
      <c r="E3354" s="85" t="s">
        <v>1905</v>
      </c>
      <c r="F3354" s="86" t="s">
        <v>1906</v>
      </c>
      <c r="G3354" s="86" t="s">
        <v>1907</v>
      </c>
    </row>
    <row r="3355" spans="1:11" ht="36" customHeight="1">
      <c r="A3355" s="87" t="s">
        <v>1917</v>
      </c>
      <c r="B3355" s="187" t="s">
        <v>2103</v>
      </c>
      <c r="C3355" s="475" t="str">
        <f>IF(B3355="","",IF($A$8="NÃO DESONERADO",(IF(A3355="SINAPI",VLOOKUP(B3355,#REF!,2,0),IF(A3355="SUDECAP",VLOOKUP(B3355,#REF!,3,0),IF(A3355="SETOP",VLOOKUP(B3355,#REF!,2,0),IF(A3355="COTAÇÃO",VLOOKUP(B3355,'Mapa Cotações'!$A:$N,2,0)))))),(IF(A3355="SINAPI",VLOOKUP(B3355,#REF!,2,0),IF(A3355="SUDECAP",VLOOKUP(B3355,#REF!,3,0),IF(A3355="SETOP",VLOOKUP(B3355,#REF!,2,0),IF(A3355="COTAÇÃO",VLOOKUP(B3355,'Mapa Cotações'!$A:$N,2,0))))))))</f>
        <v>UNIDADE CONDICIONADORA DE AR TIPO "FAN-COIL" MODELO VORTEX 35 TR, GABINETE VERTICAL, DESCARGA VERTICAL PARA CIMA, VENTILADOR SIROCCO -FC-04 3B.
CAPACIDADE NOMINAL = 128,88 KW (36,6TR) / CAPACIDADE SENSÍVEL = 82,01 KW
VAZÃO DE AR INSUFLADO = 22270 M3/H 
PRESSÃO ESTÁTICA EXTERNA = 30 MMCA  
TEMPERATURA DO AR DE ENTRADA SERPENTINA (BS/BU) = 25/18,7°C  / TEMPERATURA DA ÁGUA GELADA ENT/SAÍDA = 7,0/12,5 °C 
VAZÃO DE ÁGUA GELADA = 20,90 M3/H 
PERDA DE CARGA NA SERPENTINA = 3,70 MCA
NÚMERO DE ROWS = 6 / NÚMERO DE CIRCUITOS = 34 
NÚMERO DE TUBOS = 34 / DIÂMETRO DO TUBO = 1/2" 
NÚMERO DE ALETAS POR POLEGADA = 9 
DIÂMETRO DA CONEXÃO = 2" 
LADO HIDRÁULICA = DIREITA (VISTO FRENTE AO FILTRO DE AR ) 
POTÊNCIA MOTOR ELÉTRICO = 10 CV (220V/3F/60HZ)  
DIMENSÕES DA UNIDADE (A/L/P) = 2352/2656/1009 MM /PESO DA UNIDADE = 460 KG 
OBS.: EQUIPAMENTO DOTADO DE FILTRO DE AR CLASSE M5
REF.: CARRIER OU EQUIVALENTE</v>
      </c>
      <c r="D3355" s="89" t="str">
        <f>IF(B3355="","",IF($A$8="NÃO DESONERADO",(IF(A3355="SINAPI",VLOOKUP(B3355,#REF!,3,0),IF(A3355="SUDECAP",VLOOKUP(B3355,#REF!,4,0),IF(A3355="SETOP",VLOOKUP(B3355,#REF!,3,0),IF(A3355="COTAÇÃO",VLOOKUP(B3355,'Mapa Cotações'!$A:$N,3,0)))))),(IF(A3355="SINAPI",VLOOKUP(B3355,#REF!,3,0),IF(A3355="SUDECAP",VLOOKUP(B3355,#REF!,4,0),IF(A3355="SETOP",VLOOKUP(B3355,#REF!,3,0),IF(A3355="COTAÇÃO",VLOOKUP(B3355,'Mapa Cotações'!$A:$N,3,0))))))))</f>
        <v>UN</v>
      </c>
      <c r="E3355" s="88">
        <v>1</v>
      </c>
      <c r="F3355" s="89">
        <f>IF(B3355="","",IF($A$8="NÃO DESONERADO",(IF(A3355="SINAPI",VLOOKUP(B3355,#REF!,4,0),IF(A3355="SUDECAP",VLOOKUP(B3355,#REF!,5,0),IF(A3355="SETOP",VLOOKUP(B3355,#REF!,4,0),IF(A3355="COTAÇÃO",VLOOKUP(B3355,'Mapa Cotações'!$A:$N,13,0)))))),(IF(A3355="SINAPI",VLOOKUP(B3355,#REF!,4,0),IF(A3355="SUDECAP",VLOOKUP(B3355,#REF!,5,0),IF(A3355="SETOP",VLOOKUP(B3355,#REF!,4,0),IF(A3355="COTAÇÃO",VLOOKUP(B3355,'Mapa Cotações'!$A:$N,13,0))))))))</f>
        <v>62609.43</v>
      </c>
      <c r="G3355" s="89">
        <f>IF(D3355="","",E3355*F3355)</f>
        <v>62609.43</v>
      </c>
    </row>
    <row r="3356" spans="1:11" ht="36">
      <c r="A3356" s="636" t="s">
        <v>2</v>
      </c>
      <c r="B3356" s="636">
        <v>1570</v>
      </c>
      <c r="C3356" s="661" t="s">
        <v>2094</v>
      </c>
      <c r="D3356" s="638" t="s">
        <v>1932</v>
      </c>
      <c r="E3356" s="637">
        <v>10</v>
      </c>
      <c r="F3356" s="638">
        <v>1.46</v>
      </c>
      <c r="G3356" s="638">
        <f t="shared" ref="G3356:G3361" si="52">IF(D3356="","",E3356*F3356)</f>
        <v>14.6</v>
      </c>
    </row>
    <row r="3357" spans="1:11">
      <c r="A3357" s="636" t="s">
        <v>2</v>
      </c>
      <c r="B3357" s="636">
        <v>4374</v>
      </c>
      <c r="C3357" s="661" t="s">
        <v>2095</v>
      </c>
      <c r="D3357" s="638" t="s">
        <v>1932</v>
      </c>
      <c r="E3357" s="637">
        <v>6</v>
      </c>
      <c r="F3357" s="638">
        <v>0.44</v>
      </c>
      <c r="G3357" s="638">
        <f t="shared" si="52"/>
        <v>2.64</v>
      </c>
    </row>
    <row r="3358" spans="1:11" ht="24">
      <c r="A3358" s="636" t="s">
        <v>2</v>
      </c>
      <c r="B3358" s="636">
        <v>11976</v>
      </c>
      <c r="C3358" s="661" t="s">
        <v>2096</v>
      </c>
      <c r="D3358" s="638" t="s">
        <v>1932</v>
      </c>
      <c r="E3358" s="637">
        <v>6</v>
      </c>
      <c r="F3358" s="638">
        <v>1.64</v>
      </c>
      <c r="G3358" s="638">
        <f t="shared" si="52"/>
        <v>9.84</v>
      </c>
    </row>
    <row r="3359" spans="1:11" ht="36">
      <c r="A3359" s="636" t="s">
        <v>2</v>
      </c>
      <c r="B3359" s="636">
        <v>13246</v>
      </c>
      <c r="C3359" s="661" t="s">
        <v>2097</v>
      </c>
      <c r="D3359" s="638" t="s">
        <v>1932</v>
      </c>
      <c r="E3359" s="637">
        <v>6</v>
      </c>
      <c r="F3359" s="638">
        <v>0.61</v>
      </c>
      <c r="G3359" s="638">
        <f t="shared" si="52"/>
        <v>3.66</v>
      </c>
    </row>
    <row r="3360" spans="1:11" ht="24">
      <c r="A3360" s="636" t="s">
        <v>2</v>
      </c>
      <c r="B3360" s="636">
        <v>13348</v>
      </c>
      <c r="C3360" s="661" t="s">
        <v>2098</v>
      </c>
      <c r="D3360" s="638" t="s">
        <v>1932</v>
      </c>
      <c r="E3360" s="637">
        <v>6</v>
      </c>
      <c r="F3360" s="638">
        <v>1.79</v>
      </c>
      <c r="G3360" s="638">
        <f t="shared" si="52"/>
        <v>10.74</v>
      </c>
    </row>
    <row r="3361" spans="1:7" ht="24">
      <c r="A3361" s="636" t="s">
        <v>2</v>
      </c>
      <c r="B3361" s="636">
        <v>37591</v>
      </c>
      <c r="C3361" s="661" t="s">
        <v>2099</v>
      </c>
      <c r="D3361" s="638" t="s">
        <v>1932</v>
      </c>
      <c r="E3361" s="637">
        <v>2</v>
      </c>
      <c r="F3361" s="638">
        <v>20.059999999999999</v>
      </c>
      <c r="G3361" s="638">
        <f t="shared" si="52"/>
        <v>40.119999999999997</v>
      </c>
    </row>
    <row r="3362" spans="1:7">
      <c r="A3362" s="832" t="s">
        <v>1908</v>
      </c>
      <c r="B3362" s="833"/>
      <c r="C3362" s="833"/>
      <c r="D3362" s="833"/>
      <c r="E3362" s="833"/>
      <c r="F3362" s="834"/>
      <c r="G3362" s="90">
        <f>IF(F3355="","",(SUM(G3355:G3361)))</f>
        <v>62691.03</v>
      </c>
    </row>
    <row r="3363" spans="1:7">
      <c r="A3363" s="91"/>
      <c r="B3363" s="92"/>
      <c r="C3363" s="161"/>
      <c r="D3363" s="93"/>
      <c r="E3363" s="94"/>
      <c r="F3363" s="95"/>
      <c r="G3363" s="96"/>
    </row>
    <row r="3364" spans="1:7">
      <c r="A3364" s="835" t="s">
        <v>1909</v>
      </c>
      <c r="B3364" s="836"/>
      <c r="C3364" s="836"/>
      <c r="D3364" s="836"/>
      <c r="E3364" s="836"/>
      <c r="F3364" s="836"/>
      <c r="G3364" s="837"/>
    </row>
    <row r="3365" spans="1:7">
      <c r="A3365" s="84" t="s">
        <v>1903</v>
      </c>
      <c r="B3365" s="84" t="s">
        <v>131</v>
      </c>
      <c r="C3365" s="160" t="s">
        <v>1904</v>
      </c>
      <c r="D3365" s="84" t="s">
        <v>167</v>
      </c>
      <c r="E3365" s="85" t="s">
        <v>1905</v>
      </c>
      <c r="F3365" s="86" t="s">
        <v>1906</v>
      </c>
      <c r="G3365" s="86" t="s">
        <v>1907</v>
      </c>
    </row>
    <row r="3366" spans="1:7" ht="24">
      <c r="A3366" s="636" t="s">
        <v>2</v>
      </c>
      <c r="B3366" s="636">
        <v>88243</v>
      </c>
      <c r="C3366" s="661" t="s">
        <v>2100</v>
      </c>
      <c r="D3366" s="638" t="s">
        <v>137</v>
      </c>
      <c r="E3366" s="637">
        <f>1.9864*35</f>
        <v>69.524000000000001</v>
      </c>
      <c r="F3366" s="638">
        <v>24.36</v>
      </c>
      <c r="G3366" s="638">
        <f>IF(D3366="","",E3366*F3366)</f>
        <v>1693.60464</v>
      </c>
    </row>
    <row r="3367" spans="1:7" ht="24">
      <c r="A3367" s="636" t="s">
        <v>2</v>
      </c>
      <c r="B3367" s="636">
        <v>100308</v>
      </c>
      <c r="C3367" s="661" t="s">
        <v>1936</v>
      </c>
      <c r="D3367" s="638" t="s">
        <v>137</v>
      </c>
      <c r="E3367" s="637">
        <f>1.9864*35</f>
        <v>69.524000000000001</v>
      </c>
      <c r="F3367" s="638">
        <v>25.97</v>
      </c>
      <c r="G3367" s="638">
        <f>IF(D3367="","",E3367*F3367)</f>
        <v>1805.53828</v>
      </c>
    </row>
    <row r="3368" spans="1:7">
      <c r="A3368" s="832" t="s">
        <v>1908</v>
      </c>
      <c r="B3368" s="833"/>
      <c r="C3368" s="833"/>
      <c r="D3368" s="833"/>
      <c r="E3368" s="833"/>
      <c r="F3368" s="834"/>
      <c r="G3368" s="90">
        <f>IF(F3366="","",(SUM(G3366:G3367)))</f>
        <v>3499.1429200000002</v>
      </c>
    </row>
    <row r="3369" spans="1:7">
      <c r="A3369" s="91"/>
      <c r="B3369" s="92"/>
      <c r="C3369" s="162"/>
      <c r="D3369" s="92"/>
      <c r="E3369" s="97"/>
      <c r="F3369" s="98"/>
      <c r="G3369" s="96"/>
    </row>
    <row r="3370" spans="1:7">
      <c r="A3370" s="835" t="s">
        <v>1912</v>
      </c>
      <c r="B3370" s="836"/>
      <c r="C3370" s="836"/>
      <c r="D3370" s="836"/>
      <c r="E3370" s="836"/>
      <c r="F3370" s="836"/>
      <c r="G3370" s="837"/>
    </row>
    <row r="3371" spans="1:7">
      <c r="A3371" s="84" t="s">
        <v>1903</v>
      </c>
      <c r="B3371" s="84" t="s">
        <v>131</v>
      </c>
      <c r="C3371" s="160" t="s">
        <v>1904</v>
      </c>
      <c r="D3371" s="84" t="s">
        <v>167</v>
      </c>
      <c r="E3371" s="85" t="s">
        <v>1905</v>
      </c>
      <c r="F3371" s="86" t="s">
        <v>1906</v>
      </c>
      <c r="G3371" s="86" t="s">
        <v>1907</v>
      </c>
    </row>
    <row r="3372" spans="1:7">
      <c r="A3372" s="87"/>
      <c r="B3372" s="87"/>
      <c r="C3372" s="278" t="str">
        <f>IF(B3372="","",IF($A$8="NÃO DESONERADO",(IF(A3372="SINAPI",VLOOKUP(B3372,#REF!,2,0),IF(A3372="SUDECAP",VLOOKUP(B3372,#REF!,3,0),IF(A3372="SETOP",VLOOKUP(B3372,#REF!,2,0),IF(A3372="COTAÇÃO",VLOOKUP(B3372,'Mapa Cotações'!$A:$N,2,0)))))),(IF(A3372="SINAPI",VLOOKUP(B3372,#REF!,2,0),IF(A3372="SUDECAP",VLOOKUP(B3372,#REF!,3,0),IF(A3372="SETOP",VLOOKUP(B3372,#REF!,2,0),IF(A3372="COTAÇÃO",VLOOKUP(B3372,'Mapa Cotações'!$A:$N,2,0))))))))</f>
        <v/>
      </c>
      <c r="D3372" s="89" t="str">
        <f>IF(B3372="","",IF($A$8="NÃO DESONERADO",(IF(A3372="SINAPI",VLOOKUP(B3372,#REF!,3,0),IF(A3372="SUDECAP",VLOOKUP(B3372,#REF!,4,0),IF(A3372="SETOP",VLOOKUP(B3372,#REF!,3,0),IF(A3372="COTAÇÃO",VLOOKUP(B3372,'Mapa Cotações'!$A:$N,3,0)))))),(IF(A3372="SINAPI",VLOOKUP(B3372,#REF!,3,0),IF(A3372="SUDECAP",VLOOKUP(B3372,#REF!,4,0),IF(A3372="SETOP",VLOOKUP(B3372,#REF!,3,0),IF(A3372="COTAÇÃO",VLOOKUP(B3372,'Mapa Cotações'!$A:$N,3,0))))))))</f>
        <v/>
      </c>
      <c r="E3372" s="88"/>
      <c r="F3372" s="89" t="str">
        <f>IF(B3372="","",IF($A$8="NÃO DESONERADO",(IF(A3372="SINAPI",VLOOKUP(B3372,#REF!,4,0),IF(A3372="SUDECAP",VLOOKUP(B3372,#REF!,5,0),IF(A3372="SETOP",VLOOKUP(B3372,#REF!,4,0),IF(A3372="COTAÇÃO",VLOOKUP(B3372,'Mapa Cotações'!$A:$N,13,0)))))),(IF(A3372="SINAPI",VLOOKUP(B3372,#REF!,4,0),IF(A3372="SUDECAP",VLOOKUP(B3372,#REF!,5,0),IF(A3372="SETOP",VLOOKUP(B3372,#REF!,4,0),IF(A3372="COTAÇÃO",VLOOKUP(B3372,'Mapa Cotações'!$A:$N,13,0))))))))</f>
        <v/>
      </c>
      <c r="G3372" s="89" t="str">
        <f>IF(D3372="","",E3372*F3372)</f>
        <v/>
      </c>
    </row>
    <row r="3373" spans="1:7">
      <c r="A3373" s="87"/>
      <c r="B3373" s="87"/>
      <c r="C3373" s="278" t="str">
        <f>IF(B3373="","",IF($A$8="NÃO DESONERADO",(IF(A3373="SINAPI",VLOOKUP(B3373,#REF!,2,0),IF(A3373="SUDECAP",VLOOKUP(B3373,#REF!,3,0),IF(A3373="SETOP",VLOOKUP(B3373,#REF!,2,0),IF(A3373="COTAÇÃO",VLOOKUP(B3373,'Mapa Cotações'!$A:$N,2,0)))))),(IF(A3373="SINAPI",VLOOKUP(B3373,#REF!,2,0),IF(A3373="SUDECAP",VLOOKUP(B3373,#REF!,3,0),IF(A3373="SETOP",VLOOKUP(B3373,#REF!,2,0),IF(A3373="COTAÇÃO",VLOOKUP(B3373,'Mapa Cotações'!$A:$N,2,0))))))))</f>
        <v/>
      </c>
      <c r="D3373" s="89" t="str">
        <f>IF(B3373="","",IF($A$8="NÃO DESONERADO",(IF(A3373="SINAPI",VLOOKUP(B3373,#REF!,3,0),IF(A3373="SUDECAP",VLOOKUP(B3373,#REF!,4,0),IF(A3373="SETOP",VLOOKUP(B3373,#REF!,3,0),IF(A3373="COTAÇÃO",VLOOKUP(B3373,'Mapa Cotações'!$A:$N,3,0)))))),(IF(A3373="SINAPI",VLOOKUP(B3373,#REF!,3,0),IF(A3373="SUDECAP",VLOOKUP(B3373,#REF!,4,0),IF(A3373="SETOP",VLOOKUP(B3373,#REF!,3,0),IF(A3373="COTAÇÃO",VLOOKUP(B3373,'Mapa Cotações'!$A:$N,3,0))))))))</f>
        <v/>
      </c>
      <c r="E3373" s="88"/>
      <c r="F3373" s="89" t="str">
        <f>IF(B3373="","",IF($A$8="NÃO DESONERADO",(IF(A3373="SINAPI",VLOOKUP(B3373,#REF!,4,0),IF(A3373="SUDECAP",VLOOKUP(B3373,#REF!,5,0),IF(A3373="SETOP",VLOOKUP(B3373,#REF!,4,0),IF(A3373="COTAÇÃO",VLOOKUP(B3373,'Mapa Cotações'!$A:$N,13,0)))))),(IF(A3373="SINAPI",VLOOKUP(B3373,#REF!,4,0),IF(A3373="SUDECAP",VLOOKUP(B3373,#REF!,5,0),IF(A3373="SETOP",VLOOKUP(B3373,#REF!,4,0),IF(A3373="COTAÇÃO",VLOOKUP(B3373,'Mapa Cotações'!$A:$N,13,0))))))))</f>
        <v/>
      </c>
      <c r="G3373" s="89" t="str">
        <f>IF(D3373="","",E3373*F3373)</f>
        <v/>
      </c>
    </row>
    <row r="3374" spans="1:7">
      <c r="A3374" s="832" t="s">
        <v>1908</v>
      </c>
      <c r="B3374" s="833" t="s">
        <v>1908</v>
      </c>
      <c r="C3374" s="833"/>
      <c r="D3374" s="833"/>
      <c r="E3374" s="833"/>
      <c r="F3374" s="834"/>
      <c r="G3374" s="90" t="str">
        <f>IF(F3372="","",(SUM(G3372:G3373)))</f>
        <v/>
      </c>
    </row>
    <row r="3375" spans="1:7" ht="13.5" thickBot="1">
      <c r="A3375" s="91"/>
      <c r="B3375" s="92"/>
      <c r="C3375" s="163"/>
      <c r="D3375" s="99"/>
      <c r="E3375" s="100"/>
      <c r="F3375" s="101"/>
      <c r="G3375" s="102"/>
    </row>
    <row r="3376" spans="1:7" ht="13.5" thickBot="1">
      <c r="A3376" s="838" t="s">
        <v>1259</v>
      </c>
      <c r="B3376" s="839"/>
      <c r="C3376" s="839"/>
      <c r="D3376" s="839"/>
      <c r="E3376" s="839"/>
      <c r="F3376" s="840"/>
      <c r="G3376" s="103">
        <f>SUM(G3362,G3368,G3374)</f>
        <v>66190.172919999997</v>
      </c>
    </row>
    <row r="3378" spans="1:7">
      <c r="A3378" s="660"/>
      <c r="B3378" s="653"/>
      <c r="C3378" s="815"/>
      <c r="D3378" s="815"/>
      <c r="E3378" s="815"/>
      <c r="F3378" s="815"/>
      <c r="G3378" s="632"/>
    </row>
    <row r="3379" spans="1:7">
      <c r="A3379" s="663"/>
      <c r="B3379" s="82"/>
      <c r="C3379" s="842"/>
      <c r="D3379" s="843"/>
      <c r="E3379" s="843"/>
      <c r="F3379" s="186"/>
      <c r="G3379" s="83"/>
    </row>
    <row r="3380" spans="1:7">
      <c r="A3380" s="818"/>
      <c r="B3380" s="819"/>
      <c r="C3380" s="819"/>
      <c r="D3380" s="819"/>
      <c r="E3380" s="819"/>
      <c r="F3380" s="819"/>
      <c r="G3380" s="820"/>
    </row>
    <row r="3381" spans="1:7">
      <c r="A3381" s="633"/>
      <c r="B3381" s="633"/>
      <c r="C3381" s="649"/>
      <c r="D3381" s="633"/>
      <c r="E3381" s="634"/>
      <c r="F3381" s="635"/>
      <c r="G3381" s="635"/>
    </row>
    <row r="3382" spans="1:7">
      <c r="A3382" s="636"/>
      <c r="B3382" s="636"/>
      <c r="C3382" s="661"/>
      <c r="D3382" s="638"/>
      <c r="E3382" s="637"/>
      <c r="F3382" s="638"/>
      <c r="G3382" s="638"/>
    </row>
    <row r="3383" spans="1:7">
      <c r="A3383" s="636"/>
      <c r="B3383" s="636"/>
      <c r="C3383" s="661"/>
      <c r="D3383" s="638"/>
      <c r="E3383" s="637"/>
      <c r="F3383" s="638"/>
      <c r="G3383" s="638"/>
    </row>
    <row r="3384" spans="1:7">
      <c r="A3384" s="636"/>
      <c r="B3384" s="636"/>
      <c r="C3384" s="661"/>
      <c r="D3384" s="638"/>
      <c r="E3384" s="637"/>
      <c r="F3384" s="638"/>
      <c r="G3384" s="638"/>
    </row>
    <row r="3385" spans="1:7">
      <c r="A3385" s="636"/>
      <c r="B3385" s="636"/>
      <c r="C3385" s="661"/>
      <c r="D3385" s="638"/>
      <c r="E3385" s="637"/>
      <c r="F3385" s="638"/>
      <c r="G3385" s="638"/>
    </row>
    <row r="3386" spans="1:7">
      <c r="A3386" s="636"/>
      <c r="B3386" s="636"/>
      <c r="C3386" s="661"/>
      <c r="D3386" s="638"/>
      <c r="E3386" s="637"/>
      <c r="F3386" s="638"/>
      <c r="G3386" s="638"/>
    </row>
    <row r="3387" spans="1:7">
      <c r="A3387" s="636"/>
      <c r="B3387" s="636"/>
      <c r="C3387" s="661"/>
      <c r="D3387" s="638"/>
      <c r="E3387" s="637"/>
      <c r="F3387" s="638"/>
      <c r="G3387" s="638"/>
    </row>
    <row r="3388" spans="1:7">
      <c r="A3388" s="821"/>
      <c r="B3388" s="822"/>
      <c r="C3388" s="822"/>
      <c r="D3388" s="822"/>
      <c r="E3388" s="822"/>
      <c r="F3388" s="823"/>
      <c r="G3388" s="613"/>
    </row>
    <row r="3389" spans="1:7">
      <c r="A3389" s="639"/>
      <c r="B3389" s="640"/>
      <c r="C3389" s="161"/>
      <c r="D3389" s="93"/>
      <c r="E3389" s="94"/>
      <c r="F3389" s="95"/>
      <c r="G3389" s="641"/>
    </row>
    <row r="3390" spans="1:7">
      <c r="A3390" s="824"/>
      <c r="B3390" s="825"/>
      <c r="C3390" s="825"/>
      <c r="D3390" s="825"/>
      <c r="E3390" s="825"/>
      <c r="F3390" s="825"/>
      <c r="G3390" s="826"/>
    </row>
    <row r="3391" spans="1:7">
      <c r="A3391" s="633"/>
      <c r="B3391" s="633"/>
      <c r="C3391" s="649"/>
      <c r="D3391" s="633"/>
      <c r="E3391" s="634"/>
      <c r="F3391" s="635"/>
      <c r="G3391" s="635"/>
    </row>
    <row r="3392" spans="1:7">
      <c r="A3392" s="636"/>
      <c r="B3392" s="636"/>
      <c r="C3392" s="661"/>
      <c r="D3392" s="638"/>
      <c r="E3392" s="637"/>
      <c r="F3392" s="638"/>
      <c r="G3392" s="638"/>
    </row>
    <row r="3393" spans="1:11">
      <c r="A3393" s="636"/>
      <c r="B3393" s="636"/>
      <c r="C3393" s="661"/>
      <c r="D3393" s="638"/>
      <c r="E3393" s="637"/>
      <c r="F3393" s="638"/>
      <c r="G3393" s="638"/>
    </row>
    <row r="3394" spans="1:11">
      <c r="A3394" s="821"/>
      <c r="B3394" s="822"/>
      <c r="C3394" s="822"/>
      <c r="D3394" s="822"/>
      <c r="E3394" s="822"/>
      <c r="F3394" s="823"/>
      <c r="G3394" s="613"/>
    </row>
    <row r="3395" spans="1:11">
      <c r="A3395" s="639"/>
      <c r="B3395" s="640"/>
      <c r="C3395" s="650"/>
      <c r="D3395" s="640"/>
      <c r="E3395" s="642"/>
      <c r="F3395" s="643"/>
      <c r="G3395" s="641"/>
    </row>
    <row r="3396" spans="1:11">
      <c r="A3396" s="824"/>
      <c r="B3396" s="825"/>
      <c r="C3396" s="825"/>
      <c r="D3396" s="825"/>
      <c r="E3396" s="825"/>
      <c r="F3396" s="825"/>
      <c r="G3396" s="826"/>
    </row>
    <row r="3397" spans="1:11">
      <c r="A3397" s="633"/>
      <c r="B3397" s="633"/>
      <c r="C3397" s="649"/>
      <c r="D3397" s="633"/>
      <c r="E3397" s="634"/>
      <c r="F3397" s="635"/>
      <c r="G3397" s="635"/>
    </row>
    <row r="3398" spans="1:11">
      <c r="A3398" s="636"/>
      <c r="B3398" s="636"/>
      <c r="C3398" s="661"/>
      <c r="D3398" s="638"/>
      <c r="E3398" s="637"/>
      <c r="F3398" s="638"/>
      <c r="G3398" s="638"/>
    </row>
    <row r="3399" spans="1:11">
      <c r="A3399" s="636"/>
      <c r="B3399" s="636"/>
      <c r="C3399" s="661"/>
      <c r="D3399" s="638"/>
      <c r="E3399" s="637"/>
      <c r="F3399" s="638"/>
      <c r="G3399" s="638"/>
    </row>
    <row r="3400" spans="1:11">
      <c r="A3400" s="821"/>
      <c r="B3400" s="822"/>
      <c r="C3400" s="822"/>
      <c r="D3400" s="822"/>
      <c r="E3400" s="822"/>
      <c r="F3400" s="823"/>
      <c r="G3400" s="613"/>
    </row>
    <row r="3401" spans="1:11" ht="13.5" thickBot="1">
      <c r="A3401" s="639"/>
      <c r="B3401" s="640"/>
      <c r="C3401" s="651"/>
      <c r="D3401" s="644"/>
      <c r="E3401" s="645"/>
      <c r="F3401" s="646"/>
      <c r="G3401" s="647"/>
    </row>
    <row r="3402" spans="1:11" ht="13.5" thickBot="1">
      <c r="A3402" s="827"/>
      <c r="B3402" s="828"/>
      <c r="C3402" s="828"/>
      <c r="D3402" s="828"/>
      <c r="E3402" s="828"/>
      <c r="F3402" s="829"/>
      <c r="G3402" s="103"/>
    </row>
    <row r="3408" spans="1:11">
      <c r="A3408" s="237" t="s">
        <v>131</v>
      </c>
      <c r="B3408" s="190" t="s">
        <v>27</v>
      </c>
      <c r="C3408" s="841" t="s">
        <v>1281</v>
      </c>
      <c r="D3408" s="841"/>
      <c r="E3408" s="841"/>
      <c r="F3408" s="841"/>
      <c r="G3408" s="81" t="s">
        <v>127</v>
      </c>
      <c r="I3408" s="480" t="s">
        <v>1901</v>
      </c>
      <c r="J3408" s="80"/>
      <c r="K3408" s="80"/>
    </row>
    <row r="3409" spans="1:11" ht="63" customHeight="1">
      <c r="A3409" s="179" t="s">
        <v>1034</v>
      </c>
      <c r="B3409" s="82"/>
      <c r="C3409" s="830" t="s">
        <v>1035</v>
      </c>
      <c r="D3409" s="831"/>
      <c r="E3409" s="831"/>
      <c r="F3409" s="186">
        <f>G3429</f>
        <v>1663.4749999999999</v>
      </c>
      <c r="G3409" s="83" t="s">
        <v>167</v>
      </c>
      <c r="I3409" s="481"/>
      <c r="J3409" s="272"/>
      <c r="K3409" s="272"/>
    </row>
    <row r="3410" spans="1:11">
      <c r="A3410" s="818" t="s">
        <v>1902</v>
      </c>
      <c r="B3410" s="819"/>
      <c r="C3410" s="819"/>
      <c r="D3410" s="819"/>
      <c r="E3410" s="819"/>
      <c r="F3410" s="819"/>
      <c r="G3410" s="820"/>
    </row>
    <row r="3411" spans="1:11">
      <c r="A3411" s="84" t="s">
        <v>1903</v>
      </c>
      <c r="B3411" s="84" t="s">
        <v>131</v>
      </c>
      <c r="C3411" s="160" t="s">
        <v>1904</v>
      </c>
      <c r="D3411" s="84" t="s">
        <v>167</v>
      </c>
      <c r="E3411" s="85" t="s">
        <v>1905</v>
      </c>
      <c r="F3411" s="86" t="s">
        <v>1906</v>
      </c>
      <c r="G3411" s="86" t="s">
        <v>1907</v>
      </c>
    </row>
    <row r="3412" spans="1:11" ht="84">
      <c r="A3412" s="87" t="s">
        <v>1917</v>
      </c>
      <c r="B3412" s="87" t="s">
        <v>2104</v>
      </c>
      <c r="C3412" s="278" t="str">
        <f>IF(B3412="","",IF($A$8="NÃO DESONERADO",(IF(A3412="SINAPI",VLOOKUP(B3412,#REF!,2,0),IF(A3412="SUDECAP",VLOOKUP(B3412,#REF!,3,0),IF(A3412="SETOP",VLOOKUP(B3412,#REF!,2,0),IF(A3412="COTAÇÃO",VLOOKUP(B3412,'Mapa Cotações'!$A:$N,2,0)))))),(IF(A3412="SINAPI",VLOOKUP(B3412,#REF!,2,0),IF(A3412="SUDECAP",VLOOKUP(B3412,#REF!,3,0),IF(A3412="SETOP",VLOOKUP(B3412,#REF!,2,0),IF(A3412="COTAÇÃO",VLOOKUP(B3412,'Mapa Cotações'!$A:$N,2,0))))))))</f>
        <v>CAIXA DE VOLUME VARIÁVEL DE AR COM TODOS OS CONTROLES E SENSOR DE TEMPERATURA (TERMOSTATO) AMBIENTE MONTADO EM CAIXA DE SOBREPOR. DEVERÁ SER PREPARADA PARA AUTOMAÇÃO, SINAL DE CONTROLE 4 A 20 MA
MODELO TVJD-DIMENSÕES 300X100. REF.: TROX OU EQUIVALENTE</v>
      </c>
      <c r="D3412" s="89" t="str">
        <f>IF(B3412="","",IF($A$8="NÃO DESONERADO",(IF(A3412="SINAPI",VLOOKUP(B3412,#REF!,3,0),IF(A3412="SUDECAP",VLOOKUP(B3412,#REF!,4,0),IF(A3412="SETOP",VLOOKUP(B3412,#REF!,3,0),IF(A3412="COTAÇÃO",VLOOKUP(B3412,'Mapa Cotações'!$A:$N,3,0)))))),(IF(A3412="SINAPI",VLOOKUP(B3412,#REF!,3,0),IF(A3412="SUDECAP",VLOOKUP(B3412,#REF!,4,0),IF(A3412="SETOP",VLOOKUP(B3412,#REF!,3,0),IF(A3412="COTAÇÃO",VLOOKUP(B3412,'Mapa Cotações'!$A:$N,3,0))))))))</f>
        <v>UN</v>
      </c>
      <c r="E3412" s="88">
        <v>1</v>
      </c>
      <c r="F3412" s="89">
        <f>IF(B3412="","",IF($A$8="NÃO DESONERADO",(IF(A3412="SINAPI",VLOOKUP(B3412,#REF!,4,0),IF(A3412="SUDECAP",VLOOKUP(B3412,#REF!,5,0),IF(A3412="SETOP",VLOOKUP(B3412,#REF!,4,0),IF(A3412="COTAÇÃO",VLOOKUP(B3412,'Mapa Cotações'!$A:$N,13,0)))))),(IF(A3412="SINAPI",VLOOKUP(B3412,#REF!,4,0),IF(A3412="SUDECAP",VLOOKUP(B3412,#REF!,5,0),IF(A3412="SETOP",VLOOKUP(B3412,#REF!,4,0),IF(A3412="COTAÇÃO",VLOOKUP(B3412,'Mapa Cotações'!$A:$N,13,0))))))))</f>
        <v>1450.2</v>
      </c>
      <c r="G3412" s="89">
        <f>IF(D3412="","",E3412*F3412)</f>
        <v>1450.2</v>
      </c>
    </row>
    <row r="3413" spans="1:11">
      <c r="A3413" s="87"/>
      <c r="B3413" s="87"/>
      <c r="C3413" s="278" t="str">
        <f>IF(B3413="","",IF($A$8="NÃO DESONERADO",(IF(A3413="SINAPI",VLOOKUP(B3413,#REF!,2,0),IF(A3413="SUDECAP",VLOOKUP(B3413,#REF!,3,0),IF(A3413="SETOP",VLOOKUP(B3413,#REF!,2,0),IF(A3413="COTAÇÃO",VLOOKUP(B3413,'Mapa Cotações'!$A:$N,2,0)))))),(IF(A3413="SINAPI",VLOOKUP(B3413,#REF!,2,0),IF(A3413="SUDECAP",VLOOKUP(B3413,#REF!,3,0),IF(A3413="SETOP",VLOOKUP(B3413,#REF!,2,0),IF(A3413="COTAÇÃO",VLOOKUP(B3413,'Mapa Cotações'!$A:$N,2,0))))))))</f>
        <v/>
      </c>
      <c r="D3413" s="89" t="str">
        <f>IF(B3413="","",IF($A$8="NÃO DESONERADO",(IF(A3413="SINAPI",VLOOKUP(B3413,#REF!,3,0),IF(A3413="SUDECAP",VLOOKUP(B3413,#REF!,4,0),IF(A3413="SETOP",VLOOKUP(B3413,#REF!,3,0),IF(A3413="COTAÇÃO",VLOOKUP(B3413,'Mapa Cotações'!$A:$N,3,0)))))),(IF(A3413="SINAPI",VLOOKUP(B3413,#REF!,3,0),IF(A3413="SUDECAP",VLOOKUP(B3413,#REF!,4,0),IF(A3413="SETOP",VLOOKUP(B3413,#REF!,3,0),IF(A3413="COTAÇÃO",VLOOKUP(B3413,'Mapa Cotações'!$A:$N,3,0))))))))</f>
        <v/>
      </c>
      <c r="E3413" s="88"/>
      <c r="F3413" s="89" t="str">
        <f>IF(B3413="","",IF($A$8="NÃO DESONERADO",(IF(A3413="SINAPI",VLOOKUP(B3413,#REF!,4,0),IF(A3413="SUDECAP",VLOOKUP(B3413,#REF!,5,0),IF(A3413="SETOP",VLOOKUP(B3413,#REF!,4,0),IF(A3413="COTAÇÃO",VLOOKUP(B3413,'Mapa Cotações'!$A:$N,13,0)))))),(IF(A3413="SINAPI",VLOOKUP(B3413,#REF!,4,0),IF(A3413="SUDECAP",VLOOKUP(B3413,#REF!,5,0),IF(A3413="SETOP",VLOOKUP(B3413,#REF!,4,0),IF(A3413="COTAÇÃO",VLOOKUP(B3413,'Mapa Cotações'!$A:$N,13,0))))))))</f>
        <v/>
      </c>
      <c r="G3413" s="89" t="str">
        <f>IF(D3413="","",E3413*F3413)</f>
        <v/>
      </c>
    </row>
    <row r="3414" spans="1:11">
      <c r="A3414" s="832" t="s">
        <v>1908</v>
      </c>
      <c r="B3414" s="833"/>
      <c r="C3414" s="833"/>
      <c r="D3414" s="833"/>
      <c r="E3414" s="833"/>
      <c r="F3414" s="834"/>
      <c r="G3414" s="90">
        <f>IF(F3412="","",(SUM(G3412:G3413)))</f>
        <v>1450.2</v>
      </c>
    </row>
    <row r="3415" spans="1:11">
      <c r="A3415" s="91"/>
      <c r="B3415" s="92"/>
      <c r="C3415" s="161"/>
      <c r="D3415" s="93"/>
      <c r="E3415" s="94"/>
      <c r="F3415" s="95"/>
      <c r="G3415" s="96"/>
    </row>
    <row r="3416" spans="1:11">
      <c r="A3416" s="835" t="s">
        <v>1909</v>
      </c>
      <c r="B3416" s="836"/>
      <c r="C3416" s="836"/>
      <c r="D3416" s="836"/>
      <c r="E3416" s="836"/>
      <c r="F3416" s="836"/>
      <c r="G3416" s="837"/>
    </row>
    <row r="3417" spans="1:11">
      <c r="A3417" s="84" t="s">
        <v>1903</v>
      </c>
      <c r="B3417" s="84" t="s">
        <v>131</v>
      </c>
      <c r="C3417" s="160" t="s">
        <v>1904</v>
      </c>
      <c r="D3417" s="84" t="s">
        <v>167</v>
      </c>
      <c r="E3417" s="85" t="s">
        <v>1905</v>
      </c>
      <c r="F3417" s="86" t="s">
        <v>1906</v>
      </c>
      <c r="G3417" s="86" t="s">
        <v>1907</v>
      </c>
    </row>
    <row r="3418" spans="1:11" ht="24">
      <c r="A3418" s="87" t="s">
        <v>2</v>
      </c>
      <c r="B3418" s="87">
        <v>88243</v>
      </c>
      <c r="C3418" s="278" t="s">
        <v>2100</v>
      </c>
      <c r="D3418" s="89" t="s">
        <v>137</v>
      </c>
      <c r="E3418" s="88">
        <v>2.5</v>
      </c>
      <c r="F3418" s="89">
        <v>24.36</v>
      </c>
      <c r="G3418" s="89">
        <f>IF(D3418="","",E3418*F3418)</f>
        <v>60.9</v>
      </c>
    </row>
    <row r="3419" spans="1:11" ht="24">
      <c r="A3419" s="87" t="s">
        <v>2</v>
      </c>
      <c r="B3419" s="87">
        <v>100308</v>
      </c>
      <c r="C3419" s="278" t="s">
        <v>1936</v>
      </c>
      <c r="D3419" s="89" t="s">
        <v>137</v>
      </c>
      <c r="E3419" s="88">
        <v>2.5</v>
      </c>
      <c r="F3419" s="89">
        <v>25.97</v>
      </c>
      <c r="G3419" s="89">
        <f>IF(D3419="","",E3419*F3419)</f>
        <v>64.924999999999997</v>
      </c>
    </row>
    <row r="3420" spans="1:11">
      <c r="A3420" s="87" t="s">
        <v>2</v>
      </c>
      <c r="B3420" s="87">
        <v>88266</v>
      </c>
      <c r="C3420" s="278" t="s">
        <v>2105</v>
      </c>
      <c r="D3420" s="89" t="s">
        <v>137</v>
      </c>
      <c r="E3420" s="88">
        <v>2.5</v>
      </c>
      <c r="F3420" s="89">
        <v>34.979999999999997</v>
      </c>
      <c r="G3420" s="89">
        <f>IF(D3420="","",E3420*F3420)</f>
        <v>87.449999999999989</v>
      </c>
    </row>
    <row r="3421" spans="1:11">
      <c r="A3421" s="832" t="s">
        <v>1908</v>
      </c>
      <c r="B3421" s="833"/>
      <c r="C3421" s="833"/>
      <c r="D3421" s="833"/>
      <c r="E3421" s="833"/>
      <c r="F3421" s="834"/>
      <c r="G3421" s="90">
        <f>IF(F3418="","",(SUM(G3418:G3420)))</f>
        <v>213.27499999999998</v>
      </c>
    </row>
    <row r="3422" spans="1:11">
      <c r="A3422" s="91"/>
      <c r="B3422" s="92"/>
      <c r="C3422" s="162"/>
      <c r="D3422" s="92"/>
      <c r="E3422" s="97"/>
      <c r="F3422" s="98"/>
      <c r="G3422" s="96"/>
    </row>
    <row r="3423" spans="1:11">
      <c r="A3423" s="835" t="s">
        <v>1912</v>
      </c>
      <c r="B3423" s="836"/>
      <c r="C3423" s="836"/>
      <c r="D3423" s="836"/>
      <c r="E3423" s="836"/>
      <c r="F3423" s="836"/>
      <c r="G3423" s="837"/>
    </row>
    <row r="3424" spans="1:11">
      <c r="A3424" s="84" t="s">
        <v>1903</v>
      </c>
      <c r="B3424" s="84" t="s">
        <v>131</v>
      </c>
      <c r="C3424" s="160" t="s">
        <v>1904</v>
      </c>
      <c r="D3424" s="84" t="s">
        <v>167</v>
      </c>
      <c r="E3424" s="85" t="s">
        <v>1905</v>
      </c>
      <c r="F3424" s="86" t="s">
        <v>1906</v>
      </c>
      <c r="G3424" s="86" t="s">
        <v>1907</v>
      </c>
    </row>
    <row r="3425" spans="1:11">
      <c r="A3425" s="87"/>
      <c r="B3425" s="87"/>
      <c r="C3425" s="278" t="str">
        <f>IF(B3425="","",IF($A$8="NÃO DESONERADO",(IF(A3425="SINAPI",VLOOKUP(B3425,#REF!,2,0),IF(A3425="SUDECAP",VLOOKUP(B3425,#REF!,3,0),IF(A3425="SETOP",VLOOKUP(B3425,#REF!,2,0),IF(A3425="COTAÇÃO",VLOOKUP(B3425,'Mapa Cotações'!$A:$N,2,0)))))),(IF(A3425="SINAPI",VLOOKUP(B3425,#REF!,2,0),IF(A3425="SUDECAP",VLOOKUP(B3425,#REF!,3,0),IF(A3425="SETOP",VLOOKUP(B3425,#REF!,2,0),IF(A3425="COTAÇÃO",VLOOKUP(B3425,'Mapa Cotações'!$A:$N,2,0))))))))</f>
        <v/>
      </c>
      <c r="D3425" s="89" t="str">
        <f>IF(B3425="","",IF($A$8="NÃO DESONERADO",(IF(A3425="SINAPI",VLOOKUP(B3425,#REF!,3,0),IF(A3425="SUDECAP",VLOOKUP(B3425,#REF!,4,0),IF(A3425="SETOP",VLOOKUP(B3425,#REF!,3,0),IF(A3425="COTAÇÃO",VLOOKUP(B3425,'Mapa Cotações'!$A:$N,3,0)))))),(IF(A3425="SINAPI",VLOOKUP(B3425,#REF!,3,0),IF(A3425="SUDECAP",VLOOKUP(B3425,#REF!,4,0),IF(A3425="SETOP",VLOOKUP(B3425,#REF!,3,0),IF(A3425="COTAÇÃO",VLOOKUP(B3425,'Mapa Cotações'!$A:$N,3,0))))))))</f>
        <v/>
      </c>
      <c r="E3425" s="88"/>
      <c r="F3425" s="89" t="str">
        <f>IF(B3425="","",IF($A$8="NÃO DESONERADO",(IF(A3425="SINAPI",VLOOKUP(B3425,#REF!,4,0),IF(A3425="SUDECAP",VLOOKUP(B3425,#REF!,5,0),IF(A3425="SETOP",VLOOKUP(B3425,#REF!,4,0),IF(A3425="COTAÇÃO",VLOOKUP(B3425,'Mapa Cotações'!$A:$N,13,0)))))),(IF(A3425="SINAPI",VLOOKUP(B3425,#REF!,4,0),IF(A3425="SUDECAP",VLOOKUP(B3425,#REF!,5,0),IF(A3425="SETOP",VLOOKUP(B3425,#REF!,4,0),IF(A3425="COTAÇÃO",VLOOKUP(B3425,'Mapa Cotações'!$A:$N,13,0))))))))</f>
        <v/>
      </c>
      <c r="G3425" s="89" t="str">
        <f>IF(D3425="","",E3425*F3425)</f>
        <v/>
      </c>
    </row>
    <row r="3426" spans="1:11">
      <c r="A3426" s="87"/>
      <c r="B3426" s="87"/>
      <c r="C3426" s="278" t="str">
        <f>IF(B3426="","",IF($A$8="NÃO DESONERADO",(IF(A3426="SINAPI",VLOOKUP(B3426,#REF!,2,0),IF(A3426="SUDECAP",VLOOKUP(B3426,#REF!,3,0),IF(A3426="SETOP",VLOOKUP(B3426,#REF!,2,0),IF(A3426="COTAÇÃO",VLOOKUP(B3426,'Mapa Cotações'!$A:$N,2,0)))))),(IF(A3426="SINAPI",VLOOKUP(B3426,#REF!,2,0),IF(A3426="SUDECAP",VLOOKUP(B3426,#REF!,3,0),IF(A3426="SETOP",VLOOKUP(B3426,#REF!,2,0),IF(A3426="COTAÇÃO",VLOOKUP(B3426,'Mapa Cotações'!$A:$N,2,0))))))))</f>
        <v/>
      </c>
      <c r="D3426" s="89" t="str">
        <f>IF(B3426="","",IF($A$8="NÃO DESONERADO",(IF(A3426="SINAPI",VLOOKUP(B3426,#REF!,3,0),IF(A3426="SUDECAP",VLOOKUP(B3426,#REF!,4,0),IF(A3426="SETOP",VLOOKUP(B3426,#REF!,3,0),IF(A3426="COTAÇÃO",VLOOKUP(B3426,'Mapa Cotações'!$A:$N,3,0)))))),(IF(A3426="SINAPI",VLOOKUP(B3426,#REF!,3,0),IF(A3426="SUDECAP",VLOOKUP(B3426,#REF!,4,0),IF(A3426="SETOP",VLOOKUP(B3426,#REF!,3,0),IF(A3426="COTAÇÃO",VLOOKUP(B3426,'Mapa Cotações'!$A:$N,3,0))))))))</f>
        <v/>
      </c>
      <c r="E3426" s="88"/>
      <c r="F3426" s="89" t="str">
        <f>IF(B3426="","",IF($A$8="NÃO DESONERADO",(IF(A3426="SINAPI",VLOOKUP(B3426,#REF!,4,0),IF(A3426="SUDECAP",VLOOKUP(B3426,#REF!,5,0),IF(A3426="SETOP",VLOOKUP(B3426,#REF!,4,0),IF(A3426="COTAÇÃO",VLOOKUP(B3426,'Mapa Cotações'!$A:$N,13,0)))))),(IF(A3426="SINAPI",VLOOKUP(B3426,#REF!,4,0),IF(A3426="SUDECAP",VLOOKUP(B3426,#REF!,5,0),IF(A3426="SETOP",VLOOKUP(B3426,#REF!,4,0),IF(A3426="COTAÇÃO",VLOOKUP(B3426,'Mapa Cotações'!$A:$N,13,0))))))))</f>
        <v/>
      </c>
      <c r="G3426" s="89" t="str">
        <f>IF(D3426="","",E3426*F3426)</f>
        <v/>
      </c>
    </row>
    <row r="3427" spans="1:11">
      <c r="A3427" s="832" t="s">
        <v>1908</v>
      </c>
      <c r="B3427" s="833" t="s">
        <v>1908</v>
      </c>
      <c r="C3427" s="833"/>
      <c r="D3427" s="833"/>
      <c r="E3427" s="833"/>
      <c r="F3427" s="834"/>
      <c r="G3427" s="90" t="str">
        <f>IF(F3425="","",(SUM(G3425:G3426)))</f>
        <v/>
      </c>
    </row>
    <row r="3428" spans="1:11" ht="13.5" thickBot="1">
      <c r="A3428" s="91"/>
      <c r="B3428" s="92"/>
      <c r="C3428" s="163"/>
      <c r="D3428" s="99"/>
      <c r="E3428" s="100"/>
      <c r="F3428" s="101"/>
      <c r="G3428" s="102"/>
    </row>
    <row r="3429" spans="1:11" ht="13.5" thickBot="1">
      <c r="A3429" s="838" t="s">
        <v>1259</v>
      </c>
      <c r="B3429" s="839"/>
      <c r="C3429" s="839"/>
      <c r="D3429" s="839"/>
      <c r="E3429" s="839"/>
      <c r="F3429" s="840"/>
      <c r="G3429" s="103">
        <f>SUM(G3414,G3421,G3427)</f>
        <v>1663.4749999999999</v>
      </c>
    </row>
    <row r="3432" spans="1:11">
      <c r="A3432" s="237" t="s">
        <v>131</v>
      </c>
      <c r="B3432" s="190" t="s">
        <v>27</v>
      </c>
      <c r="C3432" s="841" t="s">
        <v>1281</v>
      </c>
      <c r="D3432" s="841"/>
      <c r="E3432" s="841"/>
      <c r="F3432" s="841"/>
      <c r="G3432" s="81" t="s">
        <v>127</v>
      </c>
      <c r="I3432" s="480" t="s">
        <v>1901</v>
      </c>
      <c r="J3432" s="80"/>
      <c r="K3432" s="80"/>
    </row>
    <row r="3433" spans="1:11" ht="61.5" customHeight="1">
      <c r="A3433" s="179" t="s">
        <v>1037</v>
      </c>
      <c r="B3433" s="82"/>
      <c r="C3433" s="830" t="s">
        <v>1038</v>
      </c>
      <c r="D3433" s="831"/>
      <c r="E3433" s="831"/>
      <c r="F3433" s="186">
        <f>G3453</f>
        <v>1505.3105</v>
      </c>
      <c r="G3433" s="83" t="s">
        <v>167</v>
      </c>
      <c r="I3433" s="481"/>
      <c r="J3433" s="272"/>
      <c r="K3433" s="272"/>
    </row>
    <row r="3434" spans="1:11">
      <c r="A3434" s="818" t="s">
        <v>1902</v>
      </c>
      <c r="B3434" s="819"/>
      <c r="C3434" s="819"/>
      <c r="D3434" s="819"/>
      <c r="E3434" s="819"/>
      <c r="F3434" s="819"/>
      <c r="G3434" s="820"/>
    </row>
    <row r="3435" spans="1:11">
      <c r="A3435" s="84" t="s">
        <v>1903</v>
      </c>
      <c r="B3435" s="84" t="s">
        <v>131</v>
      </c>
      <c r="C3435" s="160" t="s">
        <v>1904</v>
      </c>
      <c r="D3435" s="84" t="s">
        <v>167</v>
      </c>
      <c r="E3435" s="85" t="s">
        <v>1905</v>
      </c>
      <c r="F3435" s="86" t="s">
        <v>1906</v>
      </c>
      <c r="G3435" s="86" t="s">
        <v>1907</v>
      </c>
    </row>
    <row r="3436" spans="1:11" ht="84">
      <c r="A3436" s="87" t="s">
        <v>1917</v>
      </c>
      <c r="B3436" s="87" t="s">
        <v>2106</v>
      </c>
      <c r="C3436" s="278" t="str">
        <f>IF(B3436="","",IF($A$8="NÃO DESONERADO",(IF(A3436="SINAPI",VLOOKUP(B3436,#REF!,2,0),IF(A3436="SUDECAP",VLOOKUP(B3436,#REF!,3,0),IF(A3436="SETOP",VLOOKUP(B3436,#REF!,2,0),IF(A3436="COTAÇÃO",VLOOKUP(B3436,'Mapa Cotações'!$A:$N,2,0)))))),(IF(A3436="SINAPI",VLOOKUP(B3436,#REF!,2,0),IF(A3436="SUDECAP",VLOOKUP(B3436,#REF!,3,0),IF(A3436="SETOP",VLOOKUP(B3436,#REF!,2,0),IF(A3436="COTAÇÃO",VLOOKUP(B3436,'Mapa Cotações'!$A:$N,2,0))))))))</f>
        <v>CAIXA DE VOLUME VARIÁVEL DE AR COM TODOS OS CONTROLES E SENSOR DE TEMPERATURA (TERMOSTATO) AMBIENTE MONTADO EM CAIXA DE SOBREPOR.   DEVERÁ SER PREPARADA PARA AUTOMAÇÃO, SINAL DE CONTROLE 4 A 20 MA
MODELO TVJD-DIMENSÕES 200X100. REF.: TROX OU EQUIVALENTE</v>
      </c>
      <c r="D3436" s="89" t="str">
        <f>IF(B3436="","",IF($A$8="NÃO DESONERADO",(IF(A3436="SINAPI",VLOOKUP(B3436,#REF!,3,0),IF(A3436="SUDECAP",VLOOKUP(B3436,#REF!,4,0),IF(A3436="SETOP",VLOOKUP(B3436,#REF!,3,0),IF(A3436="COTAÇÃO",VLOOKUP(B3436,'Mapa Cotações'!$A:$N,3,0)))))),(IF(A3436="SINAPI",VLOOKUP(B3436,#REF!,3,0),IF(A3436="SUDECAP",VLOOKUP(B3436,#REF!,4,0),IF(A3436="SETOP",VLOOKUP(B3436,#REF!,3,0),IF(A3436="COTAÇÃO",VLOOKUP(B3436,'Mapa Cotações'!$A:$N,3,0))))))))</f>
        <v>UN</v>
      </c>
      <c r="E3436" s="88">
        <v>1</v>
      </c>
      <c r="F3436" s="89">
        <f>IF(B3436="","",IF($A$8="NÃO DESONERADO",(IF(A3436="SINAPI",VLOOKUP(B3436,#REF!,4,0),IF(A3436="SUDECAP",VLOOKUP(B3436,#REF!,5,0),IF(A3436="SETOP",VLOOKUP(B3436,#REF!,4,0),IF(A3436="COTAÇÃO",VLOOKUP(B3436,'Mapa Cotações'!$A:$N,13,0)))))),(IF(A3436="SINAPI",VLOOKUP(B3436,#REF!,4,0),IF(A3436="SUDECAP",VLOOKUP(B3436,#REF!,5,0),IF(A3436="SETOP",VLOOKUP(B3436,#REF!,4,0),IF(A3436="COTAÇÃO",VLOOKUP(B3436,'Mapa Cotações'!$A:$N,13,0))))))))</f>
        <v>1292.0355</v>
      </c>
      <c r="G3436" s="89">
        <f>IF(D3436="","",E3436*F3436)</f>
        <v>1292.0355</v>
      </c>
    </row>
    <row r="3437" spans="1:11">
      <c r="A3437" s="87"/>
      <c r="B3437" s="87"/>
      <c r="C3437" s="278" t="str">
        <f>IF(B3437="","",IF($A$8="NÃO DESONERADO",(IF(A3437="SINAPI",VLOOKUP(B3437,#REF!,2,0),IF(A3437="SUDECAP",VLOOKUP(B3437,#REF!,3,0),IF(A3437="SETOP",VLOOKUP(B3437,#REF!,2,0),IF(A3437="COTAÇÃO",VLOOKUP(B3437,'Mapa Cotações'!$A:$N,2,0)))))),(IF(A3437="SINAPI",VLOOKUP(B3437,#REF!,2,0),IF(A3437="SUDECAP",VLOOKUP(B3437,#REF!,3,0),IF(A3437="SETOP",VLOOKUP(B3437,#REF!,2,0),IF(A3437="COTAÇÃO",VLOOKUP(B3437,'Mapa Cotações'!$A:$N,2,0))))))))</f>
        <v/>
      </c>
      <c r="D3437" s="89" t="str">
        <f>IF(B3437="","",IF($A$8="NÃO DESONERADO",(IF(A3437="SINAPI",VLOOKUP(B3437,#REF!,3,0),IF(A3437="SUDECAP",VLOOKUP(B3437,#REF!,4,0),IF(A3437="SETOP",VLOOKUP(B3437,#REF!,3,0),IF(A3437="COTAÇÃO",VLOOKUP(B3437,'Mapa Cotações'!$A:$N,3,0)))))),(IF(A3437="SINAPI",VLOOKUP(B3437,#REF!,3,0),IF(A3437="SUDECAP",VLOOKUP(B3437,#REF!,4,0),IF(A3437="SETOP",VLOOKUP(B3437,#REF!,3,0),IF(A3437="COTAÇÃO",VLOOKUP(B3437,'Mapa Cotações'!$A:$N,3,0))))))))</f>
        <v/>
      </c>
      <c r="E3437" s="88"/>
      <c r="F3437" s="89" t="str">
        <f>IF(B3437="","",IF($A$8="NÃO DESONERADO",(IF(A3437="SINAPI",VLOOKUP(B3437,#REF!,4,0),IF(A3437="SUDECAP",VLOOKUP(B3437,#REF!,5,0),IF(A3437="SETOP",VLOOKUP(B3437,#REF!,4,0),IF(A3437="COTAÇÃO",VLOOKUP(B3437,'Mapa Cotações'!$A:$N,13,0)))))),(IF(A3437="SINAPI",VLOOKUP(B3437,#REF!,4,0),IF(A3437="SUDECAP",VLOOKUP(B3437,#REF!,5,0),IF(A3437="SETOP",VLOOKUP(B3437,#REF!,4,0),IF(A3437="COTAÇÃO",VLOOKUP(B3437,'Mapa Cotações'!$A:$N,13,0))))))))</f>
        <v/>
      </c>
      <c r="G3437" s="89" t="str">
        <f>IF(D3437="","",E3437*F3437)</f>
        <v/>
      </c>
    </row>
    <row r="3438" spans="1:11">
      <c r="A3438" s="832" t="s">
        <v>1908</v>
      </c>
      <c r="B3438" s="833"/>
      <c r="C3438" s="833"/>
      <c r="D3438" s="833"/>
      <c r="E3438" s="833"/>
      <c r="F3438" s="834"/>
      <c r="G3438" s="90">
        <f>IF(F3436="","",(SUM(G3436:G3437)))</f>
        <v>1292.0355</v>
      </c>
    </row>
    <row r="3439" spans="1:11">
      <c r="A3439" s="91"/>
      <c r="B3439" s="92"/>
      <c r="C3439" s="161"/>
      <c r="D3439" s="93"/>
      <c r="E3439" s="94"/>
      <c r="F3439" s="95"/>
      <c r="G3439" s="96"/>
    </row>
    <row r="3440" spans="1:11">
      <c r="A3440" s="835" t="s">
        <v>1909</v>
      </c>
      <c r="B3440" s="836"/>
      <c r="C3440" s="836"/>
      <c r="D3440" s="836"/>
      <c r="E3440" s="836"/>
      <c r="F3440" s="836"/>
      <c r="G3440" s="837"/>
    </row>
    <row r="3441" spans="1:11">
      <c r="A3441" s="84" t="s">
        <v>1903</v>
      </c>
      <c r="B3441" s="84" t="s">
        <v>131</v>
      </c>
      <c r="C3441" s="160" t="s">
        <v>1904</v>
      </c>
      <c r="D3441" s="84" t="s">
        <v>167</v>
      </c>
      <c r="E3441" s="85" t="s">
        <v>1905</v>
      </c>
      <c r="F3441" s="86" t="s">
        <v>1906</v>
      </c>
      <c r="G3441" s="86" t="s">
        <v>1907</v>
      </c>
    </row>
    <row r="3442" spans="1:11" ht="24">
      <c r="A3442" s="87" t="s">
        <v>2</v>
      </c>
      <c r="B3442" s="87">
        <v>88243</v>
      </c>
      <c r="C3442" s="278" t="s">
        <v>2100</v>
      </c>
      <c r="D3442" s="89" t="s">
        <v>137</v>
      </c>
      <c r="E3442" s="88">
        <v>2.5</v>
      </c>
      <c r="F3442" s="89">
        <v>24.36</v>
      </c>
      <c r="G3442" s="89">
        <f t="shared" ref="G3442:G3444" si="53">IF(D3442="","",E3442*F3442)</f>
        <v>60.9</v>
      </c>
    </row>
    <row r="3443" spans="1:11" ht="24">
      <c r="A3443" s="87" t="s">
        <v>2</v>
      </c>
      <c r="B3443" s="87">
        <v>100308</v>
      </c>
      <c r="C3443" s="278" t="s">
        <v>1936</v>
      </c>
      <c r="D3443" s="89" t="s">
        <v>137</v>
      </c>
      <c r="E3443" s="88">
        <v>2.5</v>
      </c>
      <c r="F3443" s="89">
        <v>25.97</v>
      </c>
      <c r="G3443" s="89">
        <f t="shared" si="53"/>
        <v>64.924999999999997</v>
      </c>
    </row>
    <row r="3444" spans="1:11">
      <c r="A3444" s="87" t="s">
        <v>2</v>
      </c>
      <c r="B3444" s="87">
        <v>88266</v>
      </c>
      <c r="C3444" s="278" t="s">
        <v>2105</v>
      </c>
      <c r="D3444" s="89" t="s">
        <v>137</v>
      </c>
      <c r="E3444" s="88">
        <v>2.5</v>
      </c>
      <c r="F3444" s="89">
        <v>34.979999999999997</v>
      </c>
      <c r="G3444" s="89">
        <f t="shared" si="53"/>
        <v>87.449999999999989</v>
      </c>
    </row>
    <row r="3445" spans="1:11">
      <c r="A3445" s="832" t="s">
        <v>1908</v>
      </c>
      <c r="B3445" s="833"/>
      <c r="C3445" s="833"/>
      <c r="D3445" s="833"/>
      <c r="E3445" s="833"/>
      <c r="F3445" s="834"/>
      <c r="G3445" s="90">
        <f>IF(F3442="","",(SUM(G3442:G3444)))</f>
        <v>213.27499999999998</v>
      </c>
    </row>
    <row r="3446" spans="1:11">
      <c r="A3446" s="91"/>
      <c r="B3446" s="92"/>
      <c r="C3446" s="162"/>
      <c r="D3446" s="92"/>
      <c r="E3446" s="97"/>
      <c r="F3446" s="98"/>
      <c r="G3446" s="96"/>
    </row>
    <row r="3447" spans="1:11">
      <c r="A3447" s="835" t="s">
        <v>1912</v>
      </c>
      <c r="B3447" s="836"/>
      <c r="C3447" s="836"/>
      <c r="D3447" s="836"/>
      <c r="E3447" s="836"/>
      <c r="F3447" s="836"/>
      <c r="G3447" s="837"/>
    </row>
    <row r="3448" spans="1:11">
      <c r="A3448" s="84" t="s">
        <v>1903</v>
      </c>
      <c r="B3448" s="84" t="s">
        <v>131</v>
      </c>
      <c r="C3448" s="160" t="s">
        <v>1904</v>
      </c>
      <c r="D3448" s="84" t="s">
        <v>167</v>
      </c>
      <c r="E3448" s="85" t="s">
        <v>1905</v>
      </c>
      <c r="F3448" s="86" t="s">
        <v>1906</v>
      </c>
      <c r="G3448" s="86" t="s">
        <v>1907</v>
      </c>
    </row>
    <row r="3449" spans="1:11">
      <c r="A3449" s="87"/>
      <c r="B3449" s="87"/>
      <c r="C3449" s="278" t="str">
        <f>IF(B3449="","",IF($A$8="NÃO DESONERADO",(IF(A3449="SINAPI",VLOOKUP(B3449,#REF!,2,0),IF(A3449="SUDECAP",VLOOKUP(B3449,#REF!,3,0),IF(A3449="SETOP",VLOOKUP(B3449,#REF!,2,0),IF(A3449="COTAÇÃO",VLOOKUP(B3449,'Mapa Cotações'!$A:$N,2,0)))))),(IF(A3449="SINAPI",VLOOKUP(B3449,#REF!,2,0),IF(A3449="SUDECAP",VLOOKUP(B3449,#REF!,3,0),IF(A3449="SETOP",VLOOKUP(B3449,#REF!,2,0),IF(A3449="COTAÇÃO",VLOOKUP(B3449,'Mapa Cotações'!$A:$N,2,0))))))))</f>
        <v/>
      </c>
      <c r="D3449" s="89" t="str">
        <f>IF(B3449="","",IF($A$8="NÃO DESONERADO",(IF(A3449="SINAPI",VLOOKUP(B3449,#REF!,3,0),IF(A3449="SUDECAP",VLOOKUP(B3449,#REF!,4,0),IF(A3449="SETOP",VLOOKUP(B3449,#REF!,3,0),IF(A3449="COTAÇÃO",VLOOKUP(B3449,'Mapa Cotações'!$A:$N,3,0)))))),(IF(A3449="SINAPI",VLOOKUP(B3449,#REF!,3,0),IF(A3449="SUDECAP",VLOOKUP(B3449,#REF!,4,0),IF(A3449="SETOP",VLOOKUP(B3449,#REF!,3,0),IF(A3449="COTAÇÃO",VLOOKUP(B3449,'Mapa Cotações'!$A:$N,3,0))))))))</f>
        <v/>
      </c>
      <c r="E3449" s="88"/>
      <c r="F3449" s="89" t="str">
        <f>IF(B3449="","",IF($A$8="NÃO DESONERADO",(IF(A3449="SINAPI",VLOOKUP(B3449,#REF!,4,0),IF(A3449="SUDECAP",VLOOKUP(B3449,#REF!,5,0),IF(A3449="SETOP",VLOOKUP(B3449,#REF!,4,0),IF(A3449="COTAÇÃO",VLOOKUP(B3449,'Mapa Cotações'!$A:$N,13,0)))))),(IF(A3449="SINAPI",VLOOKUP(B3449,#REF!,4,0),IF(A3449="SUDECAP",VLOOKUP(B3449,#REF!,5,0),IF(A3449="SETOP",VLOOKUP(B3449,#REF!,4,0),IF(A3449="COTAÇÃO",VLOOKUP(B3449,'Mapa Cotações'!$A:$N,13,0))))))))</f>
        <v/>
      </c>
      <c r="G3449" s="89" t="str">
        <f>IF(D3449="","",E3449*F3449)</f>
        <v/>
      </c>
    </row>
    <row r="3450" spans="1:11">
      <c r="A3450" s="87"/>
      <c r="B3450" s="87"/>
      <c r="C3450" s="278" t="str">
        <f>IF(B3450="","",IF($A$8="NÃO DESONERADO",(IF(A3450="SINAPI",VLOOKUP(B3450,#REF!,2,0),IF(A3450="SUDECAP",VLOOKUP(B3450,#REF!,3,0),IF(A3450="SETOP",VLOOKUP(B3450,#REF!,2,0),IF(A3450="COTAÇÃO",VLOOKUP(B3450,'Mapa Cotações'!$A:$N,2,0)))))),(IF(A3450="SINAPI",VLOOKUP(B3450,#REF!,2,0),IF(A3450="SUDECAP",VLOOKUP(B3450,#REF!,3,0),IF(A3450="SETOP",VLOOKUP(B3450,#REF!,2,0),IF(A3450="COTAÇÃO",VLOOKUP(B3450,'Mapa Cotações'!$A:$N,2,0))))))))</f>
        <v/>
      </c>
      <c r="D3450" s="89" t="str">
        <f>IF(B3450="","",IF($A$8="NÃO DESONERADO",(IF(A3450="SINAPI",VLOOKUP(B3450,#REF!,3,0),IF(A3450="SUDECAP",VLOOKUP(B3450,#REF!,4,0),IF(A3450="SETOP",VLOOKUP(B3450,#REF!,3,0),IF(A3450="COTAÇÃO",VLOOKUP(B3450,'Mapa Cotações'!$A:$N,3,0)))))),(IF(A3450="SINAPI",VLOOKUP(B3450,#REF!,3,0),IF(A3450="SUDECAP",VLOOKUP(B3450,#REF!,4,0),IF(A3450="SETOP",VLOOKUP(B3450,#REF!,3,0),IF(A3450="COTAÇÃO",VLOOKUP(B3450,'Mapa Cotações'!$A:$N,3,0))))))))</f>
        <v/>
      </c>
      <c r="E3450" s="88"/>
      <c r="F3450" s="89" t="str">
        <f>IF(B3450="","",IF($A$8="NÃO DESONERADO",(IF(A3450="SINAPI",VLOOKUP(B3450,#REF!,4,0),IF(A3450="SUDECAP",VLOOKUP(B3450,#REF!,5,0),IF(A3450="SETOP",VLOOKUP(B3450,#REF!,4,0),IF(A3450="COTAÇÃO",VLOOKUP(B3450,'Mapa Cotações'!$A:$N,13,0)))))),(IF(A3450="SINAPI",VLOOKUP(B3450,#REF!,4,0),IF(A3450="SUDECAP",VLOOKUP(B3450,#REF!,5,0),IF(A3450="SETOP",VLOOKUP(B3450,#REF!,4,0),IF(A3450="COTAÇÃO",VLOOKUP(B3450,'Mapa Cotações'!$A:$N,13,0))))))))</f>
        <v/>
      </c>
      <c r="G3450" s="89" t="str">
        <f>IF(D3450="","",E3450*F3450)</f>
        <v/>
      </c>
    </row>
    <row r="3451" spans="1:11">
      <c r="A3451" s="832" t="s">
        <v>1908</v>
      </c>
      <c r="B3451" s="833" t="s">
        <v>1908</v>
      </c>
      <c r="C3451" s="833"/>
      <c r="D3451" s="833"/>
      <c r="E3451" s="833"/>
      <c r="F3451" s="834"/>
      <c r="G3451" s="90" t="str">
        <f>IF(F3449="","",(SUM(G3449:G3450)))</f>
        <v/>
      </c>
    </row>
    <row r="3452" spans="1:11" ht="13.5" thickBot="1">
      <c r="A3452" s="91"/>
      <c r="B3452" s="92"/>
      <c r="C3452" s="163"/>
      <c r="D3452" s="99"/>
      <c r="E3452" s="100"/>
      <c r="F3452" s="101"/>
      <c r="G3452" s="102"/>
    </row>
    <row r="3453" spans="1:11" ht="13.5" thickBot="1">
      <c r="A3453" s="838" t="s">
        <v>1259</v>
      </c>
      <c r="B3453" s="839"/>
      <c r="C3453" s="839"/>
      <c r="D3453" s="839"/>
      <c r="E3453" s="839"/>
      <c r="F3453" s="840"/>
      <c r="G3453" s="103">
        <f>SUM(G3438,G3445,G3451)</f>
        <v>1505.3105</v>
      </c>
    </row>
    <row r="3456" spans="1:11">
      <c r="A3456" s="237" t="s">
        <v>131</v>
      </c>
      <c r="B3456" s="190" t="s">
        <v>27</v>
      </c>
      <c r="C3456" s="841" t="s">
        <v>1281</v>
      </c>
      <c r="D3456" s="841"/>
      <c r="E3456" s="841"/>
      <c r="F3456" s="841"/>
      <c r="G3456" s="81" t="s">
        <v>127</v>
      </c>
      <c r="I3456" s="480" t="s">
        <v>1901</v>
      </c>
      <c r="J3456" s="80"/>
      <c r="K3456" s="80"/>
    </row>
    <row r="3457" spans="1:11" ht="64.5" customHeight="1">
      <c r="A3457" s="179" t="s">
        <v>1040</v>
      </c>
      <c r="B3457" s="82"/>
      <c r="C3457" s="830" t="s">
        <v>1041</v>
      </c>
      <c r="D3457" s="831"/>
      <c r="E3457" s="831"/>
      <c r="F3457" s="186">
        <f>G3477</f>
        <v>2127.194</v>
      </c>
      <c r="G3457" s="83" t="s">
        <v>167</v>
      </c>
      <c r="I3457" s="481"/>
      <c r="J3457" s="272"/>
      <c r="K3457" s="272"/>
    </row>
    <row r="3458" spans="1:11">
      <c r="A3458" s="818" t="s">
        <v>1902</v>
      </c>
      <c r="B3458" s="819"/>
      <c r="C3458" s="819"/>
      <c r="D3458" s="819"/>
      <c r="E3458" s="819"/>
      <c r="F3458" s="819"/>
      <c r="G3458" s="820"/>
    </row>
    <row r="3459" spans="1:11">
      <c r="A3459" s="84" t="s">
        <v>1903</v>
      </c>
      <c r="B3459" s="84" t="s">
        <v>131</v>
      </c>
      <c r="C3459" s="160" t="s">
        <v>1904</v>
      </c>
      <c r="D3459" s="84" t="s">
        <v>167</v>
      </c>
      <c r="E3459" s="85" t="s">
        <v>1905</v>
      </c>
      <c r="F3459" s="86" t="s">
        <v>1906</v>
      </c>
      <c r="G3459" s="86" t="s">
        <v>1907</v>
      </c>
    </row>
    <row r="3460" spans="1:11" ht="84">
      <c r="A3460" s="87" t="s">
        <v>1917</v>
      </c>
      <c r="B3460" s="87" t="s">
        <v>2107</v>
      </c>
      <c r="C3460" s="278" t="str">
        <f>IF(B3460="","",IF($A$8="NÃO DESONERADO",(IF(A3460="SINAPI",VLOOKUP(B3460,#REF!,2,0),IF(A3460="SUDECAP",VLOOKUP(B3460,#REF!,3,0),IF(A3460="SETOP",VLOOKUP(B3460,#REF!,2,0),IF(A3460="COTAÇÃO",VLOOKUP(B3460,'Mapa Cotações'!$A:$N,2,0)))))),(IF(A3460="SINAPI",VLOOKUP(B3460,#REF!,2,0),IF(A3460="SUDECAP",VLOOKUP(B3460,#REF!,3,0),IF(A3460="SETOP",VLOOKUP(B3460,#REF!,2,0),IF(A3460="COTAÇÃO",VLOOKUP(B3460,'Mapa Cotações'!$A:$N,2,0))))))))</f>
        <v>CAIXA DE VOLUME VARIÁVEL DE AR COM TODOS OS CONTROLES E SENSOR DE TEMPERATURA (TERMOSTATO) AMBIENTE MONTADO EM CAIXA DE SOBREPOR. DEVERÁ SER PREPARADA PARA AUTOMAÇÃO, SINAL DE CONTROLE 4 A 20 MA
MODELO TVJD-DIMENSÕES 300X200. REF.: TROX OU EQUIVALENTE</v>
      </c>
      <c r="D3460" s="89" t="str">
        <f>IF(B3460="","",IF($A$8="NÃO DESONERADO",(IF(A3460="SINAPI",VLOOKUP(B3460,#REF!,3,0),IF(A3460="SUDECAP",VLOOKUP(B3460,#REF!,4,0),IF(A3460="SETOP",VLOOKUP(B3460,#REF!,3,0),IF(A3460="COTAÇÃO",VLOOKUP(B3460,'Mapa Cotações'!$A:$N,3,0)))))),(IF(A3460="SINAPI",VLOOKUP(B3460,#REF!,3,0),IF(A3460="SUDECAP",VLOOKUP(B3460,#REF!,4,0),IF(A3460="SETOP",VLOOKUP(B3460,#REF!,3,0),IF(A3460="COTAÇÃO",VLOOKUP(B3460,'Mapa Cotações'!$A:$N,3,0))))))))</f>
        <v>UN</v>
      </c>
      <c r="E3460" s="88">
        <v>1</v>
      </c>
      <c r="F3460" s="89">
        <f>IF(B3460="","",IF($A$8="NÃO DESONERADO",(IF(A3460="SINAPI",VLOOKUP(B3460,#REF!,4,0),IF(A3460="SUDECAP",VLOOKUP(B3460,#REF!,5,0),IF(A3460="SETOP",VLOOKUP(B3460,#REF!,4,0),IF(A3460="COTAÇÃO",VLOOKUP(B3460,'Mapa Cotações'!$A:$N,13,0)))))),(IF(A3460="SINAPI",VLOOKUP(B3460,#REF!,4,0),IF(A3460="SUDECAP",VLOOKUP(B3460,#REF!,5,0),IF(A3460="SETOP",VLOOKUP(B3460,#REF!,4,0),IF(A3460="COTAÇÃO",VLOOKUP(B3460,'Mapa Cotações'!$A:$N,13,0))))))))</f>
        <v>1913.9190000000001</v>
      </c>
      <c r="G3460" s="89">
        <f>IF(D3460="","",E3460*F3460)</f>
        <v>1913.9190000000001</v>
      </c>
    </row>
    <row r="3461" spans="1:11">
      <c r="A3461" s="87"/>
      <c r="B3461" s="87"/>
      <c r="C3461" s="278" t="str">
        <f>IF(B3461="","",IF($A$8="NÃO DESONERADO",(IF(A3461="SINAPI",VLOOKUP(B3461,#REF!,2,0),IF(A3461="SUDECAP",VLOOKUP(B3461,#REF!,3,0),IF(A3461="SETOP",VLOOKUP(B3461,#REF!,2,0),IF(A3461="COTAÇÃO",VLOOKUP(B3461,'Mapa Cotações'!$A:$N,2,0)))))),(IF(A3461="SINAPI",VLOOKUP(B3461,#REF!,2,0),IF(A3461="SUDECAP",VLOOKUP(B3461,#REF!,3,0),IF(A3461="SETOP",VLOOKUP(B3461,#REF!,2,0),IF(A3461="COTAÇÃO",VLOOKUP(B3461,'Mapa Cotações'!$A:$N,2,0))))))))</f>
        <v/>
      </c>
      <c r="D3461" s="89" t="str">
        <f>IF(B3461="","",IF($A$8="NÃO DESONERADO",(IF(A3461="SINAPI",VLOOKUP(B3461,#REF!,3,0),IF(A3461="SUDECAP",VLOOKUP(B3461,#REF!,4,0),IF(A3461="SETOP",VLOOKUP(B3461,#REF!,3,0),IF(A3461="COTAÇÃO",VLOOKUP(B3461,'Mapa Cotações'!$A:$N,3,0)))))),(IF(A3461="SINAPI",VLOOKUP(B3461,#REF!,3,0),IF(A3461="SUDECAP",VLOOKUP(B3461,#REF!,4,0),IF(A3461="SETOP",VLOOKUP(B3461,#REF!,3,0),IF(A3461="COTAÇÃO",VLOOKUP(B3461,'Mapa Cotações'!$A:$N,3,0))))))))</f>
        <v/>
      </c>
      <c r="E3461" s="88"/>
      <c r="F3461" s="89" t="str">
        <f>IF(B3461="","",IF($A$8="NÃO DESONERADO",(IF(A3461="SINAPI",VLOOKUP(B3461,#REF!,4,0),IF(A3461="SUDECAP",VLOOKUP(B3461,#REF!,5,0),IF(A3461="SETOP",VLOOKUP(B3461,#REF!,4,0),IF(A3461="COTAÇÃO",VLOOKUP(B3461,'Mapa Cotações'!$A:$N,13,0)))))),(IF(A3461="SINAPI",VLOOKUP(B3461,#REF!,4,0),IF(A3461="SUDECAP",VLOOKUP(B3461,#REF!,5,0),IF(A3461="SETOP",VLOOKUP(B3461,#REF!,4,0),IF(A3461="COTAÇÃO",VLOOKUP(B3461,'Mapa Cotações'!$A:$N,13,0))))))))</f>
        <v/>
      </c>
      <c r="G3461" s="89" t="str">
        <f>IF(D3461="","",E3461*F3461)</f>
        <v/>
      </c>
    </row>
    <row r="3462" spans="1:11">
      <c r="A3462" s="832" t="s">
        <v>1908</v>
      </c>
      <c r="B3462" s="833"/>
      <c r="C3462" s="833"/>
      <c r="D3462" s="833"/>
      <c r="E3462" s="833"/>
      <c r="F3462" s="834"/>
      <c r="G3462" s="90">
        <f>IF(F3460="","",(SUM(G3460:G3461)))</f>
        <v>1913.9190000000001</v>
      </c>
    </row>
    <row r="3463" spans="1:11">
      <c r="A3463" s="91"/>
      <c r="B3463" s="92"/>
      <c r="C3463" s="161"/>
      <c r="D3463" s="93"/>
      <c r="E3463" s="94"/>
      <c r="F3463" s="95"/>
      <c r="G3463" s="96"/>
    </row>
    <row r="3464" spans="1:11">
      <c r="A3464" s="835" t="s">
        <v>1909</v>
      </c>
      <c r="B3464" s="836"/>
      <c r="C3464" s="836"/>
      <c r="D3464" s="836"/>
      <c r="E3464" s="836"/>
      <c r="F3464" s="836"/>
      <c r="G3464" s="837"/>
    </row>
    <row r="3465" spans="1:11">
      <c r="A3465" s="84" t="s">
        <v>1903</v>
      </c>
      <c r="B3465" s="84" t="s">
        <v>131</v>
      </c>
      <c r="C3465" s="160" t="s">
        <v>1904</v>
      </c>
      <c r="D3465" s="84" t="s">
        <v>167</v>
      </c>
      <c r="E3465" s="85" t="s">
        <v>1905</v>
      </c>
      <c r="F3465" s="86" t="s">
        <v>1906</v>
      </c>
      <c r="G3465" s="86" t="s">
        <v>1907</v>
      </c>
    </row>
    <row r="3466" spans="1:11" ht="24">
      <c r="A3466" s="87" t="s">
        <v>2</v>
      </c>
      <c r="B3466" s="87">
        <v>88243</v>
      </c>
      <c r="C3466" s="278" t="s">
        <v>2100</v>
      </c>
      <c r="D3466" s="89" t="s">
        <v>137</v>
      </c>
      <c r="E3466" s="88">
        <v>2.5</v>
      </c>
      <c r="F3466" s="89">
        <v>24.36</v>
      </c>
      <c r="G3466" s="89">
        <f t="shared" ref="G3466:G3468" si="54">IF(D3466="","",E3466*F3466)</f>
        <v>60.9</v>
      </c>
    </row>
    <row r="3467" spans="1:11" ht="24">
      <c r="A3467" s="87" t="s">
        <v>2</v>
      </c>
      <c r="B3467" s="87">
        <v>100308</v>
      </c>
      <c r="C3467" s="278" t="s">
        <v>1936</v>
      </c>
      <c r="D3467" s="89" t="s">
        <v>137</v>
      </c>
      <c r="E3467" s="88">
        <v>2.5</v>
      </c>
      <c r="F3467" s="89">
        <v>25.97</v>
      </c>
      <c r="G3467" s="89">
        <f t="shared" si="54"/>
        <v>64.924999999999997</v>
      </c>
    </row>
    <row r="3468" spans="1:11">
      <c r="A3468" s="87" t="s">
        <v>2</v>
      </c>
      <c r="B3468" s="87">
        <v>88266</v>
      </c>
      <c r="C3468" s="278" t="s">
        <v>2105</v>
      </c>
      <c r="D3468" s="89" t="s">
        <v>137</v>
      </c>
      <c r="E3468" s="88">
        <v>2.5</v>
      </c>
      <c r="F3468" s="89">
        <v>34.979999999999997</v>
      </c>
      <c r="G3468" s="89">
        <f t="shared" si="54"/>
        <v>87.449999999999989</v>
      </c>
    </row>
    <row r="3469" spans="1:11">
      <c r="A3469" s="832" t="s">
        <v>1908</v>
      </c>
      <c r="B3469" s="833"/>
      <c r="C3469" s="833"/>
      <c r="D3469" s="833"/>
      <c r="E3469" s="833"/>
      <c r="F3469" s="834"/>
      <c r="G3469" s="90">
        <f>IF(F3466="","",(SUM(G3466:G3468)))</f>
        <v>213.27499999999998</v>
      </c>
    </row>
    <row r="3470" spans="1:11">
      <c r="A3470" s="91"/>
      <c r="B3470" s="92"/>
      <c r="C3470" s="162"/>
      <c r="D3470" s="92"/>
      <c r="E3470" s="97"/>
      <c r="F3470" s="98"/>
      <c r="G3470" s="96"/>
    </row>
    <row r="3471" spans="1:11">
      <c r="A3471" s="835" t="s">
        <v>1912</v>
      </c>
      <c r="B3471" s="836"/>
      <c r="C3471" s="836"/>
      <c r="D3471" s="836"/>
      <c r="E3471" s="836"/>
      <c r="F3471" s="836"/>
      <c r="G3471" s="837"/>
    </row>
    <row r="3472" spans="1:11">
      <c r="A3472" s="84" t="s">
        <v>1903</v>
      </c>
      <c r="B3472" s="84" t="s">
        <v>131</v>
      </c>
      <c r="C3472" s="160" t="s">
        <v>1904</v>
      </c>
      <c r="D3472" s="84" t="s">
        <v>167</v>
      </c>
      <c r="E3472" s="85" t="s">
        <v>1905</v>
      </c>
      <c r="F3472" s="86" t="s">
        <v>1906</v>
      </c>
      <c r="G3472" s="86" t="s">
        <v>1907</v>
      </c>
    </row>
    <row r="3473" spans="1:11">
      <c r="A3473" s="87"/>
      <c r="B3473" s="87"/>
      <c r="C3473" s="278" t="str">
        <f>IF(B3473="","",IF($A$8="NÃO DESONERADO",(IF(A3473="SINAPI",VLOOKUP(B3473,#REF!,2,0),IF(A3473="SUDECAP",VLOOKUP(B3473,#REF!,3,0),IF(A3473="SETOP",VLOOKUP(B3473,#REF!,2,0),IF(A3473="COTAÇÃO",VLOOKUP(B3473,'Mapa Cotações'!$A:$N,2,0)))))),(IF(A3473="SINAPI",VLOOKUP(B3473,#REF!,2,0),IF(A3473="SUDECAP",VLOOKUP(B3473,#REF!,3,0),IF(A3473="SETOP",VLOOKUP(B3473,#REF!,2,0),IF(A3473="COTAÇÃO",VLOOKUP(B3473,'Mapa Cotações'!$A:$N,2,0))))))))</f>
        <v/>
      </c>
      <c r="D3473" s="89" t="str">
        <f>IF(B3473="","",IF($A$8="NÃO DESONERADO",(IF(A3473="SINAPI",VLOOKUP(B3473,#REF!,3,0),IF(A3473="SUDECAP",VLOOKUP(B3473,#REF!,4,0),IF(A3473="SETOP",VLOOKUP(B3473,#REF!,3,0),IF(A3473="COTAÇÃO",VLOOKUP(B3473,'Mapa Cotações'!$A:$N,3,0)))))),(IF(A3473="SINAPI",VLOOKUP(B3473,#REF!,3,0),IF(A3473="SUDECAP",VLOOKUP(B3473,#REF!,4,0),IF(A3473="SETOP",VLOOKUP(B3473,#REF!,3,0),IF(A3473="COTAÇÃO",VLOOKUP(B3473,'Mapa Cotações'!$A:$N,3,0))))))))</f>
        <v/>
      </c>
      <c r="E3473" s="88"/>
      <c r="F3473" s="89" t="str">
        <f>IF(B3473="","",IF($A$8="NÃO DESONERADO",(IF(A3473="SINAPI",VLOOKUP(B3473,#REF!,4,0),IF(A3473="SUDECAP",VLOOKUP(B3473,#REF!,5,0),IF(A3473="SETOP",VLOOKUP(B3473,#REF!,4,0),IF(A3473="COTAÇÃO",VLOOKUP(B3473,'Mapa Cotações'!$A:$N,13,0)))))),(IF(A3473="SINAPI",VLOOKUP(B3473,#REF!,4,0),IF(A3473="SUDECAP",VLOOKUP(B3473,#REF!,5,0),IF(A3473="SETOP",VLOOKUP(B3473,#REF!,4,0),IF(A3473="COTAÇÃO",VLOOKUP(B3473,'Mapa Cotações'!$A:$N,13,0))))))))</f>
        <v/>
      </c>
      <c r="G3473" s="89" t="str">
        <f>IF(D3473="","",E3473*F3473)</f>
        <v/>
      </c>
    </row>
    <row r="3474" spans="1:11">
      <c r="A3474" s="87"/>
      <c r="B3474" s="87"/>
      <c r="C3474" s="278" t="str">
        <f>IF(B3474="","",IF($A$8="NÃO DESONERADO",(IF(A3474="SINAPI",VLOOKUP(B3474,#REF!,2,0),IF(A3474="SUDECAP",VLOOKUP(B3474,#REF!,3,0),IF(A3474="SETOP",VLOOKUP(B3474,#REF!,2,0),IF(A3474="COTAÇÃO",VLOOKUP(B3474,'Mapa Cotações'!$A:$N,2,0)))))),(IF(A3474="SINAPI",VLOOKUP(B3474,#REF!,2,0),IF(A3474="SUDECAP",VLOOKUP(B3474,#REF!,3,0),IF(A3474="SETOP",VLOOKUP(B3474,#REF!,2,0),IF(A3474="COTAÇÃO",VLOOKUP(B3474,'Mapa Cotações'!$A:$N,2,0))))))))</f>
        <v/>
      </c>
      <c r="D3474" s="89" t="str">
        <f>IF(B3474="","",IF($A$8="NÃO DESONERADO",(IF(A3474="SINAPI",VLOOKUP(B3474,#REF!,3,0),IF(A3474="SUDECAP",VLOOKUP(B3474,#REF!,4,0),IF(A3474="SETOP",VLOOKUP(B3474,#REF!,3,0),IF(A3474="COTAÇÃO",VLOOKUP(B3474,'Mapa Cotações'!$A:$N,3,0)))))),(IF(A3474="SINAPI",VLOOKUP(B3474,#REF!,3,0),IF(A3474="SUDECAP",VLOOKUP(B3474,#REF!,4,0),IF(A3474="SETOP",VLOOKUP(B3474,#REF!,3,0),IF(A3474="COTAÇÃO",VLOOKUP(B3474,'Mapa Cotações'!$A:$N,3,0))))))))</f>
        <v/>
      </c>
      <c r="E3474" s="88"/>
      <c r="F3474" s="89" t="str">
        <f>IF(B3474="","",IF($A$8="NÃO DESONERADO",(IF(A3474="SINAPI",VLOOKUP(B3474,#REF!,4,0),IF(A3474="SUDECAP",VLOOKUP(B3474,#REF!,5,0),IF(A3474="SETOP",VLOOKUP(B3474,#REF!,4,0),IF(A3474="COTAÇÃO",VLOOKUP(B3474,'Mapa Cotações'!$A:$N,13,0)))))),(IF(A3474="SINAPI",VLOOKUP(B3474,#REF!,4,0),IF(A3474="SUDECAP",VLOOKUP(B3474,#REF!,5,0),IF(A3474="SETOP",VLOOKUP(B3474,#REF!,4,0),IF(A3474="COTAÇÃO",VLOOKUP(B3474,'Mapa Cotações'!$A:$N,13,0))))))))</f>
        <v/>
      </c>
      <c r="G3474" s="89" t="str">
        <f>IF(D3474="","",E3474*F3474)</f>
        <v/>
      </c>
    </row>
    <row r="3475" spans="1:11">
      <c r="A3475" s="832" t="s">
        <v>1908</v>
      </c>
      <c r="B3475" s="833" t="s">
        <v>1908</v>
      </c>
      <c r="C3475" s="833"/>
      <c r="D3475" s="833"/>
      <c r="E3475" s="833"/>
      <c r="F3475" s="834"/>
      <c r="G3475" s="90" t="str">
        <f>IF(F3473="","",(SUM(G3473:G3474)))</f>
        <v/>
      </c>
    </row>
    <row r="3476" spans="1:11" ht="13.5" thickBot="1">
      <c r="A3476" s="91"/>
      <c r="B3476" s="92"/>
      <c r="C3476" s="163"/>
      <c r="D3476" s="99"/>
      <c r="E3476" s="100"/>
      <c r="F3476" s="101"/>
      <c r="G3476" s="102"/>
    </row>
    <row r="3477" spans="1:11" ht="13.5" thickBot="1">
      <c r="A3477" s="838" t="s">
        <v>1259</v>
      </c>
      <c r="B3477" s="839"/>
      <c r="C3477" s="839"/>
      <c r="D3477" s="839"/>
      <c r="E3477" s="839"/>
      <c r="F3477" s="840"/>
      <c r="G3477" s="103">
        <f>SUM(G3462,G3469,G3475)</f>
        <v>2127.194</v>
      </c>
    </row>
    <row r="3480" spans="1:11">
      <c r="A3480" s="237" t="s">
        <v>131</v>
      </c>
      <c r="B3480" s="190" t="s">
        <v>27</v>
      </c>
      <c r="C3480" s="841" t="s">
        <v>1281</v>
      </c>
      <c r="D3480" s="841"/>
      <c r="E3480" s="841"/>
      <c r="F3480" s="841"/>
      <c r="G3480" s="81" t="s">
        <v>127</v>
      </c>
      <c r="I3480" s="480" t="s">
        <v>1901</v>
      </c>
      <c r="J3480" s="80"/>
      <c r="K3480" s="80"/>
    </row>
    <row r="3481" spans="1:11" ht="64.5" customHeight="1">
      <c r="A3481" s="179" t="s">
        <v>1045</v>
      </c>
      <c r="B3481" s="82"/>
      <c r="C3481" s="830" t="s">
        <v>1791</v>
      </c>
      <c r="D3481" s="831"/>
      <c r="E3481" s="831"/>
      <c r="F3481" s="186">
        <f>G3500</f>
        <v>1477.5145</v>
      </c>
      <c r="G3481" s="83" t="s">
        <v>167</v>
      </c>
      <c r="I3481" s="481"/>
      <c r="J3481" s="272"/>
      <c r="K3481" s="272"/>
    </row>
    <row r="3482" spans="1:11">
      <c r="A3482" s="818" t="s">
        <v>1902</v>
      </c>
      <c r="B3482" s="819"/>
      <c r="C3482" s="819"/>
      <c r="D3482" s="819"/>
      <c r="E3482" s="819"/>
      <c r="F3482" s="819"/>
      <c r="G3482" s="820"/>
    </row>
    <row r="3483" spans="1:11">
      <c r="A3483" s="84" t="s">
        <v>1903</v>
      </c>
      <c r="B3483" s="84" t="s">
        <v>131</v>
      </c>
      <c r="C3483" s="160" t="s">
        <v>1904</v>
      </c>
      <c r="D3483" s="84" t="s">
        <v>167</v>
      </c>
      <c r="E3483" s="85" t="s">
        <v>1905</v>
      </c>
      <c r="F3483" s="86" t="s">
        <v>1906</v>
      </c>
      <c r="G3483" s="86" t="s">
        <v>1907</v>
      </c>
    </row>
    <row r="3484" spans="1:11" ht="36">
      <c r="A3484" s="87" t="s">
        <v>1917</v>
      </c>
      <c r="B3484" s="187" t="s">
        <v>2108</v>
      </c>
      <c r="C3484" s="278" t="str">
        <f>IF(B3484="","",IF($A$8="NÃO DESONERADO",(IF(A3484="SINAPI",VLOOKUP(B3484,#REF!,2,0),IF(A3484="SUDECAP",VLOOKUP(B3484,#REF!,3,0),IF(A3484="SETOP",VLOOKUP(B3484,#REF!,2,0),IF(A3484="COTAÇÃO",VLOOKUP(B3484,'Mapa Cotações'!$A:$N,2,0)))))),(IF(A3484="SINAPI",VLOOKUP(B3484,#REF!,2,0),IF(A3484="SUDECAP",VLOOKUP(B3484,#REF!,3,0),IF(A3484="SETOP",VLOOKUP(B3484,#REF!,2,0),IF(A3484="COTAÇÃO",VLOOKUP(B3484,'Mapa Cotações'!$A:$N,2,0))))))))</f>
        <v>DIFUSOR EM ALUMÍNIO, COM REGISTRO, CAIXA PLENUM, QUATRO VIAS, MODELO VARYSET PARA VAV - TAMANHO 500, COLARINHO Φ = 248 MM (10") . REF.: TROX OU EQUIVALENTE</v>
      </c>
      <c r="D3484" s="89" t="str">
        <f>IF(B3484="","",IF($A$8="NÃO DESONERADO",(IF(A3484="SINAPI",VLOOKUP(B3484,#REF!,3,0),IF(A3484="SUDECAP",VLOOKUP(B3484,#REF!,4,0),IF(A3484="SETOP",VLOOKUP(B3484,#REF!,3,0),IF(A3484="COTAÇÃO",VLOOKUP(B3484,'Mapa Cotações'!$A:$N,3,0)))))),(IF(A3484="SINAPI",VLOOKUP(B3484,#REF!,3,0),IF(A3484="SUDECAP",VLOOKUP(B3484,#REF!,4,0),IF(A3484="SETOP",VLOOKUP(B3484,#REF!,3,0),IF(A3484="COTAÇÃO",VLOOKUP(B3484,'Mapa Cotações'!$A:$N,3,0))))))))</f>
        <v>UN</v>
      </c>
      <c r="E3484" s="88">
        <v>1</v>
      </c>
      <c r="F3484" s="89">
        <f>IF(B3484="","",IF($A$8="NÃO DESONERADO",(IF(A3484="SINAPI",VLOOKUP(B3484,#REF!,4,0),IF(A3484="SUDECAP",VLOOKUP(B3484,#REF!,5,0),IF(A3484="SETOP",VLOOKUP(B3484,#REF!,4,0),IF(A3484="COTAÇÃO",VLOOKUP(B3484,'Mapa Cotações'!$A:$N,13,0)))))),(IF(A3484="SINAPI",VLOOKUP(B3484,#REF!,4,0),IF(A3484="SUDECAP",VLOOKUP(B3484,#REF!,5,0),IF(A3484="SETOP",VLOOKUP(B3484,#REF!,4,0),IF(A3484="COTAÇÃO",VLOOKUP(B3484,'Mapa Cotações'!$A:$N,13,0))))))))</f>
        <v>1376.8544999999999</v>
      </c>
      <c r="G3484" s="89">
        <f>IF(D3484="","",E3484*F3484)</f>
        <v>1376.8544999999999</v>
      </c>
    </row>
    <row r="3485" spans="1:11">
      <c r="A3485" s="87"/>
      <c r="B3485" s="87"/>
      <c r="C3485" s="278" t="str">
        <f>IF(B3485="","",IF($A$8="NÃO DESONERADO",(IF(A3485="SINAPI",VLOOKUP(B3485,#REF!,2,0),IF(A3485="SUDECAP",VLOOKUP(B3485,#REF!,3,0),IF(A3485="SETOP",VLOOKUP(B3485,#REF!,2,0),IF(A3485="COTAÇÃO",VLOOKUP(B3485,'Mapa Cotações'!$A:$N,2,0)))))),(IF(A3485="SINAPI",VLOOKUP(B3485,#REF!,2,0),IF(A3485="SUDECAP",VLOOKUP(B3485,#REF!,3,0),IF(A3485="SETOP",VLOOKUP(B3485,#REF!,2,0),IF(A3485="COTAÇÃO",VLOOKUP(B3485,'Mapa Cotações'!$A:$N,2,0))))))))</f>
        <v/>
      </c>
      <c r="D3485" s="89" t="str">
        <f>IF(B3485="","",IF($A$8="NÃO DESONERADO",(IF(A3485="SINAPI",VLOOKUP(B3485,#REF!,3,0),IF(A3485="SUDECAP",VLOOKUP(B3485,#REF!,4,0),IF(A3485="SETOP",VLOOKUP(B3485,#REF!,3,0),IF(A3485="COTAÇÃO",VLOOKUP(B3485,'Mapa Cotações'!$A:$N,3,0)))))),(IF(A3485="SINAPI",VLOOKUP(B3485,#REF!,3,0),IF(A3485="SUDECAP",VLOOKUP(B3485,#REF!,4,0),IF(A3485="SETOP",VLOOKUP(B3485,#REF!,3,0),IF(A3485="COTAÇÃO",VLOOKUP(B3485,'Mapa Cotações'!$A:$N,3,0))))))))</f>
        <v/>
      </c>
      <c r="E3485" s="88"/>
      <c r="F3485" s="89" t="str">
        <f>IF(B3485="","",IF($A$8="NÃO DESONERADO",(IF(A3485="SINAPI",VLOOKUP(B3485,#REF!,4,0),IF(A3485="SUDECAP",VLOOKUP(B3485,#REF!,5,0),IF(A3485="SETOP",VLOOKUP(B3485,#REF!,4,0),IF(A3485="COTAÇÃO",VLOOKUP(B3485,'Mapa Cotações'!$A:$N,13,0)))))),(IF(A3485="SINAPI",VLOOKUP(B3485,#REF!,4,0),IF(A3485="SUDECAP",VLOOKUP(B3485,#REF!,5,0),IF(A3485="SETOP",VLOOKUP(B3485,#REF!,4,0),IF(A3485="COTAÇÃO",VLOOKUP(B3485,'Mapa Cotações'!$A:$N,13,0))))))))</f>
        <v/>
      </c>
      <c r="G3485" s="89" t="str">
        <f>IF(D3485="","",E3485*F3485)</f>
        <v/>
      </c>
    </row>
    <row r="3486" spans="1:11">
      <c r="A3486" s="832" t="s">
        <v>1908</v>
      </c>
      <c r="B3486" s="833"/>
      <c r="C3486" s="833"/>
      <c r="D3486" s="833"/>
      <c r="E3486" s="833"/>
      <c r="F3486" s="834"/>
      <c r="G3486" s="90">
        <f>IF(F3484="","",(SUM(G3484:G3485)))</f>
        <v>1376.8544999999999</v>
      </c>
    </row>
    <row r="3487" spans="1:11">
      <c r="A3487" s="91"/>
      <c r="B3487" s="92"/>
      <c r="C3487" s="161"/>
      <c r="D3487" s="93"/>
      <c r="E3487" s="94"/>
      <c r="F3487" s="95"/>
      <c r="G3487" s="96"/>
    </row>
    <row r="3488" spans="1:11">
      <c r="A3488" s="835" t="s">
        <v>1909</v>
      </c>
      <c r="B3488" s="836"/>
      <c r="C3488" s="836"/>
      <c r="D3488" s="836"/>
      <c r="E3488" s="836"/>
      <c r="F3488" s="836"/>
      <c r="G3488" s="837"/>
    </row>
    <row r="3489" spans="1:11">
      <c r="A3489" s="84" t="s">
        <v>1903</v>
      </c>
      <c r="B3489" s="84" t="s">
        <v>131</v>
      </c>
      <c r="C3489" s="160" t="s">
        <v>1904</v>
      </c>
      <c r="D3489" s="84" t="s">
        <v>167</v>
      </c>
      <c r="E3489" s="85" t="s">
        <v>1905</v>
      </c>
      <c r="F3489" s="86" t="s">
        <v>1906</v>
      </c>
      <c r="G3489" s="86" t="s">
        <v>1907</v>
      </c>
    </row>
    <row r="3490" spans="1:11" ht="24">
      <c r="A3490" s="87" t="s">
        <v>2</v>
      </c>
      <c r="B3490" s="87">
        <v>88243</v>
      </c>
      <c r="C3490" s="278" t="s">
        <v>2100</v>
      </c>
      <c r="D3490" s="89" t="s">
        <v>137</v>
      </c>
      <c r="E3490" s="88">
        <v>2</v>
      </c>
      <c r="F3490" s="89">
        <v>24.36</v>
      </c>
      <c r="G3490" s="89">
        <f t="shared" ref="G3490" si="55">IF(D3490="","",E3490*F3490)</f>
        <v>48.72</v>
      </c>
    </row>
    <row r="3491" spans="1:11" ht="24">
      <c r="A3491" s="87" t="s">
        <v>2</v>
      </c>
      <c r="B3491" s="87">
        <v>100308</v>
      </c>
      <c r="C3491" s="278" t="s">
        <v>1936</v>
      </c>
      <c r="D3491" s="89" t="s">
        <v>137</v>
      </c>
      <c r="E3491" s="88">
        <v>2</v>
      </c>
      <c r="F3491" s="89">
        <v>25.97</v>
      </c>
      <c r="G3491" s="89">
        <f>IF(D3491="","",E3491*F3491)</f>
        <v>51.94</v>
      </c>
    </row>
    <row r="3492" spans="1:11">
      <c r="A3492" s="832" t="s">
        <v>1908</v>
      </c>
      <c r="B3492" s="833"/>
      <c r="C3492" s="833"/>
      <c r="D3492" s="833"/>
      <c r="E3492" s="833"/>
      <c r="F3492" s="834"/>
      <c r="G3492" s="90">
        <f>IF(F3490="","",(SUM(G3490:G3491)))</f>
        <v>100.66</v>
      </c>
    </row>
    <row r="3493" spans="1:11">
      <c r="A3493" s="91"/>
      <c r="B3493" s="92"/>
      <c r="C3493" s="162"/>
      <c r="D3493" s="92"/>
      <c r="E3493" s="97"/>
      <c r="F3493" s="98"/>
      <c r="G3493" s="96"/>
    </row>
    <row r="3494" spans="1:11">
      <c r="A3494" s="835" t="s">
        <v>1912</v>
      </c>
      <c r="B3494" s="836"/>
      <c r="C3494" s="836"/>
      <c r="D3494" s="836"/>
      <c r="E3494" s="836"/>
      <c r="F3494" s="836"/>
      <c r="G3494" s="837"/>
    </row>
    <row r="3495" spans="1:11">
      <c r="A3495" s="84" t="s">
        <v>1903</v>
      </c>
      <c r="B3495" s="84" t="s">
        <v>131</v>
      </c>
      <c r="C3495" s="160" t="s">
        <v>1904</v>
      </c>
      <c r="D3495" s="84" t="s">
        <v>167</v>
      </c>
      <c r="E3495" s="85" t="s">
        <v>1905</v>
      </c>
      <c r="F3495" s="86" t="s">
        <v>1906</v>
      </c>
      <c r="G3495" s="86" t="s">
        <v>1907</v>
      </c>
    </row>
    <row r="3496" spans="1:11">
      <c r="A3496" s="87"/>
      <c r="B3496" s="87"/>
      <c r="C3496" s="278" t="str">
        <f>IF(B3496="","",IF($A$8="NÃO DESONERADO",(IF(A3496="SINAPI",VLOOKUP(B3496,#REF!,2,0),IF(A3496="SUDECAP",VLOOKUP(B3496,#REF!,3,0),IF(A3496="SETOP",VLOOKUP(B3496,#REF!,2,0),IF(A3496="COTAÇÃO",VLOOKUP(B3496,'Mapa Cotações'!$A:$N,2,0)))))),(IF(A3496="SINAPI",VLOOKUP(B3496,#REF!,2,0),IF(A3496="SUDECAP",VLOOKUP(B3496,#REF!,3,0),IF(A3496="SETOP",VLOOKUP(B3496,#REF!,2,0),IF(A3496="COTAÇÃO",VLOOKUP(B3496,'Mapa Cotações'!$A:$N,2,0))))))))</f>
        <v/>
      </c>
      <c r="D3496" s="89" t="str">
        <f>IF(B3496="","",IF($A$8="NÃO DESONERADO",(IF(A3496="SINAPI",VLOOKUP(B3496,#REF!,3,0),IF(A3496="SUDECAP",VLOOKUP(B3496,#REF!,4,0),IF(A3496="SETOP",VLOOKUP(B3496,#REF!,3,0),IF(A3496="COTAÇÃO",VLOOKUP(B3496,'Mapa Cotações'!$A:$N,3,0)))))),(IF(A3496="SINAPI",VLOOKUP(B3496,#REF!,3,0),IF(A3496="SUDECAP",VLOOKUP(B3496,#REF!,4,0),IF(A3496="SETOP",VLOOKUP(B3496,#REF!,3,0),IF(A3496="COTAÇÃO",VLOOKUP(B3496,'Mapa Cotações'!$A:$N,3,0))))))))</f>
        <v/>
      </c>
      <c r="E3496" s="88"/>
      <c r="F3496" s="89" t="str">
        <f>IF(B3496="","",IF($A$8="NÃO DESONERADO",(IF(A3496="SINAPI",VLOOKUP(B3496,#REF!,4,0),IF(A3496="SUDECAP",VLOOKUP(B3496,#REF!,5,0),IF(A3496="SETOP",VLOOKUP(B3496,#REF!,4,0),IF(A3496="COTAÇÃO",VLOOKUP(B3496,'Mapa Cotações'!$A:$N,13,0)))))),(IF(A3496="SINAPI",VLOOKUP(B3496,#REF!,4,0),IF(A3496="SUDECAP",VLOOKUP(B3496,#REF!,5,0),IF(A3496="SETOP",VLOOKUP(B3496,#REF!,4,0),IF(A3496="COTAÇÃO",VLOOKUP(B3496,'Mapa Cotações'!$A:$N,13,0))))))))</f>
        <v/>
      </c>
      <c r="G3496" s="89" t="str">
        <f>IF(D3496="","",E3496*F3496)</f>
        <v/>
      </c>
    </row>
    <row r="3497" spans="1:11">
      <c r="A3497" s="87"/>
      <c r="B3497" s="87"/>
      <c r="C3497" s="278" t="str">
        <f>IF(B3497="","",IF($A$8="NÃO DESONERADO",(IF(A3497="SINAPI",VLOOKUP(B3497,#REF!,2,0),IF(A3497="SUDECAP",VLOOKUP(B3497,#REF!,3,0),IF(A3497="SETOP",VLOOKUP(B3497,#REF!,2,0),IF(A3497="COTAÇÃO",VLOOKUP(B3497,'Mapa Cotações'!$A:$N,2,0)))))),(IF(A3497="SINAPI",VLOOKUP(B3497,#REF!,2,0),IF(A3497="SUDECAP",VLOOKUP(B3497,#REF!,3,0),IF(A3497="SETOP",VLOOKUP(B3497,#REF!,2,0),IF(A3497="COTAÇÃO",VLOOKUP(B3497,'Mapa Cotações'!$A:$N,2,0))))))))</f>
        <v/>
      </c>
      <c r="D3497" s="89" t="str">
        <f>IF(B3497="","",IF($A$8="NÃO DESONERADO",(IF(A3497="SINAPI",VLOOKUP(B3497,#REF!,3,0),IF(A3497="SUDECAP",VLOOKUP(B3497,#REF!,4,0),IF(A3497="SETOP",VLOOKUP(B3497,#REF!,3,0),IF(A3497="COTAÇÃO",VLOOKUP(B3497,'Mapa Cotações'!$A:$N,3,0)))))),(IF(A3497="SINAPI",VLOOKUP(B3497,#REF!,3,0),IF(A3497="SUDECAP",VLOOKUP(B3497,#REF!,4,0),IF(A3497="SETOP",VLOOKUP(B3497,#REF!,3,0),IF(A3497="COTAÇÃO",VLOOKUP(B3497,'Mapa Cotações'!$A:$N,3,0))))))))</f>
        <v/>
      </c>
      <c r="E3497" s="88"/>
      <c r="F3497" s="89" t="str">
        <f>IF(B3497="","",IF($A$8="NÃO DESONERADO",(IF(A3497="SINAPI",VLOOKUP(B3497,#REF!,4,0),IF(A3497="SUDECAP",VLOOKUP(B3497,#REF!,5,0),IF(A3497="SETOP",VLOOKUP(B3497,#REF!,4,0),IF(A3497="COTAÇÃO",VLOOKUP(B3497,'Mapa Cotações'!$A:$N,13,0)))))),(IF(A3497="SINAPI",VLOOKUP(B3497,#REF!,4,0),IF(A3497="SUDECAP",VLOOKUP(B3497,#REF!,5,0),IF(A3497="SETOP",VLOOKUP(B3497,#REF!,4,0),IF(A3497="COTAÇÃO",VLOOKUP(B3497,'Mapa Cotações'!$A:$N,13,0))))))))</f>
        <v/>
      </c>
      <c r="G3497" s="89" t="str">
        <f>IF(D3497="","",E3497*F3497)</f>
        <v/>
      </c>
    </row>
    <row r="3498" spans="1:11">
      <c r="A3498" s="832" t="s">
        <v>1908</v>
      </c>
      <c r="B3498" s="833" t="s">
        <v>1908</v>
      </c>
      <c r="C3498" s="833"/>
      <c r="D3498" s="833"/>
      <c r="E3498" s="833"/>
      <c r="F3498" s="834"/>
      <c r="G3498" s="90" t="str">
        <f>IF(F3496="","",(SUM(G3496:G3497)))</f>
        <v/>
      </c>
    </row>
    <row r="3499" spans="1:11" ht="13.5" thickBot="1">
      <c r="A3499" s="91"/>
      <c r="B3499" s="92"/>
      <c r="C3499" s="163"/>
      <c r="D3499" s="99"/>
      <c r="E3499" s="100"/>
      <c r="F3499" s="101"/>
      <c r="G3499" s="102"/>
    </row>
    <row r="3500" spans="1:11" ht="13.5" thickBot="1">
      <c r="A3500" s="838" t="s">
        <v>1259</v>
      </c>
      <c r="B3500" s="839"/>
      <c r="C3500" s="839"/>
      <c r="D3500" s="839"/>
      <c r="E3500" s="839"/>
      <c r="F3500" s="840"/>
      <c r="G3500" s="103">
        <f>SUM(G3486,G3492,G3498)</f>
        <v>1477.5145</v>
      </c>
    </row>
    <row r="3503" spans="1:11">
      <c r="A3503" s="237" t="s">
        <v>131</v>
      </c>
      <c r="B3503" s="190" t="s">
        <v>27</v>
      </c>
      <c r="C3503" s="841" t="s">
        <v>1281</v>
      </c>
      <c r="D3503" s="841"/>
      <c r="E3503" s="841"/>
      <c r="F3503" s="841"/>
      <c r="G3503" s="81" t="s">
        <v>127</v>
      </c>
      <c r="I3503" s="480" t="s">
        <v>1901</v>
      </c>
      <c r="J3503" s="80"/>
      <c r="K3503" s="80"/>
    </row>
    <row r="3504" spans="1:11" ht="64.5" customHeight="1">
      <c r="A3504" s="179" t="s">
        <v>1048</v>
      </c>
      <c r="B3504" s="82"/>
      <c r="C3504" s="830" t="s">
        <v>1793</v>
      </c>
      <c r="D3504" s="831"/>
      <c r="E3504" s="831"/>
      <c r="F3504" s="186">
        <f>G3523</f>
        <v>1176.3449999999998</v>
      </c>
      <c r="G3504" s="83" t="s">
        <v>167</v>
      </c>
      <c r="I3504" s="481"/>
      <c r="J3504" s="272"/>
      <c r="K3504" s="272"/>
    </row>
    <row r="3505" spans="1:7">
      <c r="A3505" s="818" t="s">
        <v>1902</v>
      </c>
      <c r="B3505" s="819"/>
      <c r="C3505" s="819"/>
      <c r="D3505" s="819"/>
      <c r="E3505" s="819"/>
      <c r="F3505" s="819"/>
      <c r="G3505" s="820"/>
    </row>
    <row r="3506" spans="1:7">
      <c r="A3506" s="84" t="s">
        <v>1903</v>
      </c>
      <c r="B3506" s="84" t="s">
        <v>131</v>
      </c>
      <c r="C3506" s="160" t="s">
        <v>1904</v>
      </c>
      <c r="D3506" s="84" t="s">
        <v>167</v>
      </c>
      <c r="E3506" s="85" t="s">
        <v>1905</v>
      </c>
      <c r="F3506" s="86" t="s">
        <v>1906</v>
      </c>
      <c r="G3506" s="86" t="s">
        <v>1907</v>
      </c>
    </row>
    <row r="3507" spans="1:7" ht="36">
      <c r="A3507" s="87" t="s">
        <v>1917</v>
      </c>
      <c r="B3507" s="187" t="s">
        <v>2109</v>
      </c>
      <c r="C3507" s="278" t="str">
        <f>IF(B3507="","",IF($A$8="NÃO DESONERADO",(IF(A3507="SINAPI",VLOOKUP(B3507,#REF!,2,0),IF(A3507="SUDECAP",VLOOKUP(B3507,#REF!,3,0),IF(A3507="SETOP",VLOOKUP(B3507,#REF!,2,0),IF(A3507="COTAÇÃO",VLOOKUP(B3507,'Mapa Cotações'!$A:$N,2,0)))))),(IF(A3507="SINAPI",VLOOKUP(B3507,#REF!,2,0),IF(A3507="SUDECAP",VLOOKUP(B3507,#REF!,3,0),IF(A3507="SETOP",VLOOKUP(B3507,#REF!,2,0),IF(A3507="COTAÇÃO",VLOOKUP(B3507,'Mapa Cotações'!$A:$N,2,0))))))))</f>
        <v>DIFUSOR EM ALUMÍNIO, COM REGISTRO, CAIXA PLENUM, QUATRO VIAS, MODELO VARYSET PARA VAV - TAMANHO 400, COLARINHO Φ = 198 MM (8") . REF.: TROX OU EQUIVALENTE</v>
      </c>
      <c r="D3507" s="89" t="str">
        <f>IF(B3507="","",IF($A$8="NÃO DESONERADO",(IF(A3507="SINAPI",VLOOKUP(B3507,#REF!,3,0),IF(A3507="SUDECAP",VLOOKUP(B3507,#REF!,4,0),IF(A3507="SETOP",VLOOKUP(B3507,#REF!,3,0),IF(A3507="COTAÇÃO",VLOOKUP(B3507,'Mapa Cotações'!$A:$N,3,0)))))),(IF(A3507="SINAPI",VLOOKUP(B3507,#REF!,3,0),IF(A3507="SUDECAP",VLOOKUP(B3507,#REF!,4,0),IF(A3507="SETOP",VLOOKUP(B3507,#REF!,3,0),IF(A3507="COTAÇÃO",VLOOKUP(B3507,'Mapa Cotações'!$A:$N,3,0))))))))</f>
        <v>UN</v>
      </c>
      <c r="E3507" s="88">
        <v>1</v>
      </c>
      <c r="F3507" s="89">
        <f>IF(B3507="","",IF($A$8="NÃO DESONERADO",(IF(A3507="SINAPI",VLOOKUP(B3507,#REF!,4,0),IF(A3507="SUDECAP",VLOOKUP(B3507,#REF!,5,0),IF(A3507="SETOP",VLOOKUP(B3507,#REF!,4,0),IF(A3507="COTAÇÃO",VLOOKUP(B3507,'Mapa Cotações'!$A:$N,13,0)))))),(IF(A3507="SINAPI",VLOOKUP(B3507,#REF!,4,0),IF(A3507="SUDECAP",VLOOKUP(B3507,#REF!,5,0),IF(A3507="SETOP",VLOOKUP(B3507,#REF!,4,0),IF(A3507="COTAÇÃO",VLOOKUP(B3507,'Mapa Cotações'!$A:$N,13,0))))))))</f>
        <v>1100.8499999999999</v>
      </c>
      <c r="G3507" s="89">
        <f>IF(D3507="","",E3507*F3507)</f>
        <v>1100.8499999999999</v>
      </c>
    </row>
    <row r="3508" spans="1:7">
      <c r="A3508" s="87"/>
      <c r="B3508" s="87"/>
      <c r="C3508" s="278" t="str">
        <f>IF(B3508="","",IF($A$8="NÃO DESONERADO",(IF(A3508="SINAPI",VLOOKUP(B3508,#REF!,2,0),IF(A3508="SUDECAP",VLOOKUP(B3508,#REF!,3,0),IF(A3508="SETOP",VLOOKUP(B3508,#REF!,2,0),IF(A3508="COTAÇÃO",VLOOKUP(B3508,'Mapa Cotações'!$A:$N,2,0)))))),(IF(A3508="SINAPI",VLOOKUP(B3508,#REF!,2,0),IF(A3508="SUDECAP",VLOOKUP(B3508,#REF!,3,0),IF(A3508="SETOP",VLOOKUP(B3508,#REF!,2,0),IF(A3508="COTAÇÃO",VLOOKUP(B3508,'Mapa Cotações'!$A:$N,2,0))))))))</f>
        <v/>
      </c>
      <c r="D3508" s="89" t="str">
        <f>IF(B3508="","",IF($A$8="NÃO DESONERADO",(IF(A3508="SINAPI",VLOOKUP(B3508,#REF!,3,0),IF(A3508="SUDECAP",VLOOKUP(B3508,#REF!,4,0),IF(A3508="SETOP",VLOOKUP(B3508,#REF!,3,0),IF(A3508="COTAÇÃO",VLOOKUP(B3508,'Mapa Cotações'!$A:$N,3,0)))))),(IF(A3508="SINAPI",VLOOKUP(B3508,#REF!,3,0),IF(A3508="SUDECAP",VLOOKUP(B3508,#REF!,4,0),IF(A3508="SETOP",VLOOKUP(B3508,#REF!,3,0),IF(A3508="COTAÇÃO",VLOOKUP(B3508,'Mapa Cotações'!$A:$N,3,0))))))))</f>
        <v/>
      </c>
      <c r="E3508" s="88"/>
      <c r="F3508" s="89" t="str">
        <f>IF(B3508="","",IF($A$8="NÃO DESONERADO",(IF(A3508="SINAPI",VLOOKUP(B3508,#REF!,4,0),IF(A3508="SUDECAP",VLOOKUP(B3508,#REF!,5,0),IF(A3508="SETOP",VLOOKUP(B3508,#REF!,4,0),IF(A3508="COTAÇÃO",VLOOKUP(B3508,'Mapa Cotações'!$A:$N,13,0)))))),(IF(A3508="SINAPI",VLOOKUP(B3508,#REF!,4,0),IF(A3508="SUDECAP",VLOOKUP(B3508,#REF!,5,0),IF(A3508="SETOP",VLOOKUP(B3508,#REF!,4,0),IF(A3508="COTAÇÃO",VLOOKUP(B3508,'Mapa Cotações'!$A:$N,13,0))))))))</f>
        <v/>
      </c>
      <c r="G3508" s="89" t="str">
        <f>IF(D3508="","",E3508*F3508)</f>
        <v/>
      </c>
    </row>
    <row r="3509" spans="1:7">
      <c r="A3509" s="832" t="s">
        <v>1908</v>
      </c>
      <c r="B3509" s="833"/>
      <c r="C3509" s="833"/>
      <c r="D3509" s="833"/>
      <c r="E3509" s="833"/>
      <c r="F3509" s="834"/>
      <c r="G3509" s="90">
        <f>IF(F3507="","",(SUM(G3507:G3508)))</f>
        <v>1100.8499999999999</v>
      </c>
    </row>
    <row r="3510" spans="1:7">
      <c r="A3510" s="91"/>
      <c r="B3510" s="92"/>
      <c r="C3510" s="161"/>
      <c r="D3510" s="93"/>
      <c r="E3510" s="94"/>
      <c r="F3510" s="95"/>
      <c r="G3510" s="96"/>
    </row>
    <row r="3511" spans="1:7">
      <c r="A3511" s="835" t="s">
        <v>1909</v>
      </c>
      <c r="B3511" s="836"/>
      <c r="C3511" s="836"/>
      <c r="D3511" s="836"/>
      <c r="E3511" s="836"/>
      <c r="F3511" s="836"/>
      <c r="G3511" s="837"/>
    </row>
    <row r="3512" spans="1:7">
      <c r="A3512" s="84" t="s">
        <v>1903</v>
      </c>
      <c r="B3512" s="84" t="s">
        <v>131</v>
      </c>
      <c r="C3512" s="160" t="s">
        <v>1904</v>
      </c>
      <c r="D3512" s="84" t="s">
        <v>167</v>
      </c>
      <c r="E3512" s="85" t="s">
        <v>1905</v>
      </c>
      <c r="F3512" s="86" t="s">
        <v>1906</v>
      </c>
      <c r="G3512" s="86" t="s">
        <v>1907</v>
      </c>
    </row>
    <row r="3513" spans="1:7" ht="24">
      <c r="A3513" s="87" t="s">
        <v>2</v>
      </c>
      <c r="B3513" s="87">
        <v>88243</v>
      </c>
      <c r="C3513" s="278" t="s">
        <v>2100</v>
      </c>
      <c r="D3513" s="89" t="s">
        <v>137</v>
      </c>
      <c r="E3513" s="88">
        <v>1.5</v>
      </c>
      <c r="F3513" s="89">
        <v>24.36</v>
      </c>
      <c r="G3513" s="89">
        <f>IF(D3513="","",E3513*F3513)</f>
        <v>36.54</v>
      </c>
    </row>
    <row r="3514" spans="1:7" ht="24">
      <c r="A3514" s="87" t="s">
        <v>2</v>
      </c>
      <c r="B3514" s="87">
        <v>100308</v>
      </c>
      <c r="C3514" s="278" t="s">
        <v>1936</v>
      </c>
      <c r="D3514" s="89" t="s">
        <v>137</v>
      </c>
      <c r="E3514" s="88">
        <v>1.5</v>
      </c>
      <c r="F3514" s="89">
        <v>25.97</v>
      </c>
      <c r="G3514" s="89">
        <f>IF(D3514="","",E3514*F3514)</f>
        <v>38.954999999999998</v>
      </c>
    </row>
    <row r="3515" spans="1:7">
      <c r="A3515" s="832" t="s">
        <v>1908</v>
      </c>
      <c r="B3515" s="833"/>
      <c r="C3515" s="833"/>
      <c r="D3515" s="833"/>
      <c r="E3515" s="833"/>
      <c r="F3515" s="834"/>
      <c r="G3515" s="90">
        <f>IF(F3513="","",(SUM(G3513:G3514)))</f>
        <v>75.495000000000005</v>
      </c>
    </row>
    <row r="3516" spans="1:7">
      <c r="A3516" s="91"/>
      <c r="B3516" s="92"/>
      <c r="C3516" s="162"/>
      <c r="D3516" s="92"/>
      <c r="E3516" s="97"/>
      <c r="F3516" s="98"/>
      <c r="G3516" s="96"/>
    </row>
    <row r="3517" spans="1:7">
      <c r="A3517" s="835" t="s">
        <v>1912</v>
      </c>
      <c r="B3517" s="836"/>
      <c r="C3517" s="836"/>
      <c r="D3517" s="836"/>
      <c r="E3517" s="836"/>
      <c r="F3517" s="836"/>
      <c r="G3517" s="837"/>
    </row>
    <row r="3518" spans="1:7">
      <c r="A3518" s="84" t="s">
        <v>1903</v>
      </c>
      <c r="B3518" s="84" t="s">
        <v>131</v>
      </c>
      <c r="C3518" s="160" t="s">
        <v>1904</v>
      </c>
      <c r="D3518" s="84" t="s">
        <v>167</v>
      </c>
      <c r="E3518" s="85" t="s">
        <v>1905</v>
      </c>
      <c r="F3518" s="86" t="s">
        <v>1906</v>
      </c>
      <c r="G3518" s="86" t="s">
        <v>1907</v>
      </c>
    </row>
    <row r="3519" spans="1:7">
      <c r="A3519" s="87"/>
      <c r="B3519" s="87"/>
      <c r="C3519" s="278" t="str">
        <f>IF(B3519="","",IF($A$8="NÃO DESONERADO",(IF(A3519="SINAPI",VLOOKUP(B3519,#REF!,2,0),IF(A3519="SUDECAP",VLOOKUP(B3519,#REF!,3,0),IF(A3519="SETOP",VLOOKUP(B3519,#REF!,2,0),IF(A3519="COTAÇÃO",VLOOKUP(B3519,'Mapa Cotações'!$A:$N,2,0)))))),(IF(A3519="SINAPI",VLOOKUP(B3519,#REF!,2,0),IF(A3519="SUDECAP",VLOOKUP(B3519,#REF!,3,0),IF(A3519="SETOP",VLOOKUP(B3519,#REF!,2,0),IF(A3519="COTAÇÃO",VLOOKUP(B3519,'Mapa Cotações'!$A:$N,2,0))))))))</f>
        <v/>
      </c>
      <c r="D3519" s="89" t="str">
        <f>IF(B3519="","",IF($A$8="NÃO DESONERADO",(IF(A3519="SINAPI",VLOOKUP(B3519,#REF!,3,0),IF(A3519="SUDECAP",VLOOKUP(B3519,#REF!,4,0),IF(A3519="SETOP",VLOOKUP(B3519,#REF!,3,0),IF(A3519="COTAÇÃO",VLOOKUP(B3519,'Mapa Cotações'!$A:$N,3,0)))))),(IF(A3519="SINAPI",VLOOKUP(B3519,#REF!,3,0),IF(A3519="SUDECAP",VLOOKUP(B3519,#REF!,4,0),IF(A3519="SETOP",VLOOKUP(B3519,#REF!,3,0),IF(A3519="COTAÇÃO",VLOOKUP(B3519,'Mapa Cotações'!$A:$N,3,0))))))))</f>
        <v/>
      </c>
      <c r="E3519" s="88"/>
      <c r="F3519" s="89" t="str">
        <f>IF(B3519="","",IF($A$8="NÃO DESONERADO",(IF(A3519="SINAPI",VLOOKUP(B3519,#REF!,4,0),IF(A3519="SUDECAP",VLOOKUP(B3519,#REF!,5,0),IF(A3519="SETOP",VLOOKUP(B3519,#REF!,4,0),IF(A3519="COTAÇÃO",VLOOKUP(B3519,'Mapa Cotações'!$A:$N,13,0)))))),(IF(A3519="SINAPI",VLOOKUP(B3519,#REF!,4,0),IF(A3519="SUDECAP",VLOOKUP(B3519,#REF!,5,0),IF(A3519="SETOP",VLOOKUP(B3519,#REF!,4,0),IF(A3519="COTAÇÃO",VLOOKUP(B3519,'Mapa Cotações'!$A:$N,13,0))))))))</f>
        <v/>
      </c>
      <c r="G3519" s="89" t="str">
        <f>IF(D3519="","",E3519*F3519)</f>
        <v/>
      </c>
    </row>
    <row r="3520" spans="1:7">
      <c r="A3520" s="87"/>
      <c r="B3520" s="87"/>
      <c r="C3520" s="278" t="str">
        <f>IF(B3520="","",IF($A$8="NÃO DESONERADO",(IF(A3520="SINAPI",VLOOKUP(B3520,#REF!,2,0),IF(A3520="SUDECAP",VLOOKUP(B3520,#REF!,3,0),IF(A3520="SETOP",VLOOKUP(B3520,#REF!,2,0),IF(A3520="COTAÇÃO",VLOOKUP(B3520,'Mapa Cotações'!$A:$N,2,0)))))),(IF(A3520="SINAPI",VLOOKUP(B3520,#REF!,2,0),IF(A3520="SUDECAP",VLOOKUP(B3520,#REF!,3,0),IF(A3520="SETOP",VLOOKUP(B3520,#REF!,2,0),IF(A3520="COTAÇÃO",VLOOKUP(B3520,'Mapa Cotações'!$A:$N,2,0))))))))</f>
        <v/>
      </c>
      <c r="D3520" s="89" t="str">
        <f>IF(B3520="","",IF($A$8="NÃO DESONERADO",(IF(A3520="SINAPI",VLOOKUP(B3520,#REF!,3,0),IF(A3520="SUDECAP",VLOOKUP(B3520,#REF!,4,0),IF(A3520="SETOP",VLOOKUP(B3520,#REF!,3,0),IF(A3520="COTAÇÃO",VLOOKUP(B3520,'Mapa Cotações'!$A:$N,3,0)))))),(IF(A3520="SINAPI",VLOOKUP(B3520,#REF!,3,0),IF(A3520="SUDECAP",VLOOKUP(B3520,#REF!,4,0),IF(A3520="SETOP",VLOOKUP(B3520,#REF!,3,0),IF(A3520="COTAÇÃO",VLOOKUP(B3520,'Mapa Cotações'!$A:$N,3,0))))))))</f>
        <v/>
      </c>
      <c r="E3520" s="88"/>
      <c r="F3520" s="89" t="str">
        <f>IF(B3520="","",IF($A$8="NÃO DESONERADO",(IF(A3520="SINAPI",VLOOKUP(B3520,#REF!,4,0),IF(A3520="SUDECAP",VLOOKUP(B3520,#REF!,5,0),IF(A3520="SETOP",VLOOKUP(B3520,#REF!,4,0),IF(A3520="COTAÇÃO",VLOOKUP(B3520,'Mapa Cotações'!$A:$N,13,0)))))),(IF(A3520="SINAPI",VLOOKUP(B3520,#REF!,4,0),IF(A3520="SUDECAP",VLOOKUP(B3520,#REF!,5,0),IF(A3520="SETOP",VLOOKUP(B3520,#REF!,4,0),IF(A3520="COTAÇÃO",VLOOKUP(B3520,'Mapa Cotações'!$A:$N,13,0))))))))</f>
        <v/>
      </c>
      <c r="G3520" s="89" t="str">
        <f>IF(D3520="","",E3520*F3520)</f>
        <v/>
      </c>
    </row>
    <row r="3521" spans="1:11">
      <c r="A3521" s="832" t="s">
        <v>1908</v>
      </c>
      <c r="B3521" s="833" t="s">
        <v>1908</v>
      </c>
      <c r="C3521" s="833"/>
      <c r="D3521" s="833"/>
      <c r="E3521" s="833"/>
      <c r="F3521" s="834"/>
      <c r="G3521" s="90" t="str">
        <f>IF(F3519="","",(SUM(G3519:G3520)))</f>
        <v/>
      </c>
    </row>
    <row r="3522" spans="1:11" ht="13.5" thickBot="1">
      <c r="A3522" s="91"/>
      <c r="B3522" s="92"/>
      <c r="C3522" s="163"/>
      <c r="D3522" s="99"/>
      <c r="E3522" s="100"/>
      <c r="F3522" s="101"/>
      <c r="G3522" s="102"/>
    </row>
    <row r="3523" spans="1:11" ht="13.5" thickBot="1">
      <c r="A3523" s="838" t="s">
        <v>1259</v>
      </c>
      <c r="B3523" s="839"/>
      <c r="C3523" s="839"/>
      <c r="D3523" s="839"/>
      <c r="E3523" s="839"/>
      <c r="F3523" s="840"/>
      <c r="G3523" s="103">
        <f>SUM(G3509,G3515,G3521)</f>
        <v>1176.3449999999998</v>
      </c>
    </row>
    <row r="3526" spans="1:11">
      <c r="A3526" s="237" t="s">
        <v>131</v>
      </c>
      <c r="B3526" s="190" t="s">
        <v>27</v>
      </c>
      <c r="C3526" s="841" t="s">
        <v>1281</v>
      </c>
      <c r="D3526" s="841"/>
      <c r="E3526" s="841"/>
      <c r="F3526" s="841"/>
      <c r="G3526" s="81" t="s">
        <v>127</v>
      </c>
      <c r="I3526" s="480" t="s">
        <v>1901</v>
      </c>
      <c r="J3526" s="80"/>
      <c r="K3526" s="80"/>
    </row>
    <row r="3527" spans="1:11" ht="64.5" customHeight="1">
      <c r="A3527" s="179" t="s">
        <v>1051</v>
      </c>
      <c r="B3527" s="82"/>
      <c r="C3527" s="830" t="s">
        <v>1795</v>
      </c>
      <c r="D3527" s="831"/>
      <c r="E3527" s="831"/>
      <c r="F3527" s="186">
        <f>G3546</f>
        <v>951.53000000000009</v>
      </c>
      <c r="G3527" s="83" t="s">
        <v>167</v>
      </c>
      <c r="I3527" s="481"/>
      <c r="J3527" s="272"/>
      <c r="K3527" s="272"/>
    </row>
    <row r="3528" spans="1:11">
      <c r="A3528" s="818" t="s">
        <v>1902</v>
      </c>
      <c r="B3528" s="819"/>
      <c r="C3528" s="819"/>
      <c r="D3528" s="819"/>
      <c r="E3528" s="819"/>
      <c r="F3528" s="819"/>
      <c r="G3528" s="820"/>
    </row>
    <row r="3529" spans="1:11">
      <c r="A3529" s="84" t="s">
        <v>1903</v>
      </c>
      <c r="B3529" s="84" t="s">
        <v>131</v>
      </c>
      <c r="C3529" s="160" t="s">
        <v>1904</v>
      </c>
      <c r="D3529" s="84" t="s">
        <v>167</v>
      </c>
      <c r="E3529" s="85" t="s">
        <v>1905</v>
      </c>
      <c r="F3529" s="86" t="s">
        <v>1906</v>
      </c>
      <c r="G3529" s="86" t="s">
        <v>1907</v>
      </c>
    </row>
    <row r="3530" spans="1:11" ht="36">
      <c r="A3530" s="87" t="s">
        <v>1917</v>
      </c>
      <c r="B3530" s="187" t="s">
        <v>2110</v>
      </c>
      <c r="C3530" s="278" t="str">
        <f>IF(B3530="","",IF($A$8="NÃO DESONERADO",(IF(A3530="SINAPI",VLOOKUP(B3530,#REF!,2,0),IF(A3530="SUDECAP",VLOOKUP(B3530,#REF!,3,0),IF(A3530="SETOP",VLOOKUP(B3530,#REF!,2,0),IF(A3530="COTAÇÃO",VLOOKUP(B3530,'Mapa Cotações'!$A:$N,2,0)))))),(IF(A3530="SINAPI",VLOOKUP(B3530,#REF!,2,0),IF(A3530="SUDECAP",VLOOKUP(B3530,#REF!,3,0),IF(A3530="SETOP",VLOOKUP(B3530,#REF!,2,0),IF(A3530="COTAÇÃO",VLOOKUP(B3530,'Mapa Cotações'!$A:$N,2,0))))))))</f>
        <v>DIFUSOR EM ALUMÍNIO, COM REGISTRO, CAIXA PLENUM, QUATRO VIAS, MODELO VARYSET PARA VAV - TAMANHO 300, COLARINHO Φ = 158 MM (6") . REF.: TROX OU EQUIVALENTE</v>
      </c>
      <c r="D3530" s="89" t="str">
        <f>IF(B3530="","",IF($A$8="NÃO DESONERADO",(IF(A3530="SINAPI",VLOOKUP(B3530,#REF!,3,0),IF(A3530="SUDECAP",VLOOKUP(B3530,#REF!,4,0),IF(A3530="SETOP",VLOOKUP(B3530,#REF!,3,0),IF(A3530="COTAÇÃO",VLOOKUP(B3530,'Mapa Cotações'!$A:$N,3,0)))))),(IF(A3530="SINAPI",VLOOKUP(B3530,#REF!,3,0),IF(A3530="SUDECAP",VLOOKUP(B3530,#REF!,4,0),IF(A3530="SETOP",VLOOKUP(B3530,#REF!,3,0),IF(A3530="COTAÇÃO",VLOOKUP(B3530,'Mapa Cotações'!$A:$N,3,0))))))))</f>
        <v>UN</v>
      </c>
      <c r="E3530" s="88">
        <v>1</v>
      </c>
      <c r="F3530" s="89">
        <f>IF(B3530="","",IF($A$8="NÃO DESONERADO",(IF(A3530="SINAPI",VLOOKUP(B3530,#REF!,4,0),IF(A3530="SUDECAP",VLOOKUP(B3530,#REF!,5,0),IF(A3530="SETOP",VLOOKUP(B3530,#REF!,4,0),IF(A3530="COTAÇÃO",VLOOKUP(B3530,'Mapa Cotações'!$A:$N,13,0)))))),(IF(A3530="SINAPI",VLOOKUP(B3530,#REF!,4,0),IF(A3530="SUDECAP",VLOOKUP(B3530,#REF!,5,0),IF(A3530="SETOP",VLOOKUP(B3530,#REF!,4,0),IF(A3530="COTAÇÃO",VLOOKUP(B3530,'Mapa Cotações'!$A:$N,13,0))))))))</f>
        <v>901.2</v>
      </c>
      <c r="G3530" s="89">
        <f>IF(D3530="","",E3530*F3530)</f>
        <v>901.2</v>
      </c>
    </row>
    <row r="3531" spans="1:11">
      <c r="A3531" s="87"/>
      <c r="B3531" s="87"/>
      <c r="C3531" s="278" t="str">
        <f>IF(B3531="","",IF($A$8="NÃO DESONERADO",(IF(A3531="SINAPI",VLOOKUP(B3531,#REF!,2,0),IF(A3531="SUDECAP",VLOOKUP(B3531,#REF!,3,0),IF(A3531="SETOP",VLOOKUP(B3531,#REF!,2,0),IF(A3531="COTAÇÃO",VLOOKUP(B3531,'Mapa Cotações'!$A:$N,2,0)))))),(IF(A3531="SINAPI",VLOOKUP(B3531,#REF!,2,0),IF(A3531="SUDECAP",VLOOKUP(B3531,#REF!,3,0),IF(A3531="SETOP",VLOOKUP(B3531,#REF!,2,0),IF(A3531="COTAÇÃO",VLOOKUP(B3531,'Mapa Cotações'!$A:$N,2,0))))))))</f>
        <v/>
      </c>
      <c r="D3531" s="89" t="str">
        <f>IF(B3531="","",IF($A$8="NÃO DESONERADO",(IF(A3531="SINAPI",VLOOKUP(B3531,#REF!,3,0),IF(A3531="SUDECAP",VLOOKUP(B3531,#REF!,4,0),IF(A3531="SETOP",VLOOKUP(B3531,#REF!,3,0),IF(A3531="COTAÇÃO",VLOOKUP(B3531,'Mapa Cotações'!$A:$N,3,0)))))),(IF(A3531="SINAPI",VLOOKUP(B3531,#REF!,3,0),IF(A3531="SUDECAP",VLOOKUP(B3531,#REF!,4,0),IF(A3531="SETOP",VLOOKUP(B3531,#REF!,3,0),IF(A3531="COTAÇÃO",VLOOKUP(B3531,'Mapa Cotações'!$A:$N,3,0))))))))</f>
        <v/>
      </c>
      <c r="E3531" s="88"/>
      <c r="F3531" s="89" t="str">
        <f>IF(B3531="","",IF($A$8="NÃO DESONERADO",(IF(A3531="SINAPI",VLOOKUP(B3531,#REF!,4,0),IF(A3531="SUDECAP",VLOOKUP(B3531,#REF!,5,0),IF(A3531="SETOP",VLOOKUP(B3531,#REF!,4,0),IF(A3531="COTAÇÃO",VLOOKUP(B3531,'Mapa Cotações'!$A:$N,13,0)))))),(IF(A3531="SINAPI",VLOOKUP(B3531,#REF!,4,0),IF(A3531="SUDECAP",VLOOKUP(B3531,#REF!,5,0),IF(A3531="SETOP",VLOOKUP(B3531,#REF!,4,0),IF(A3531="COTAÇÃO",VLOOKUP(B3531,'Mapa Cotações'!$A:$N,13,0))))))))</f>
        <v/>
      </c>
      <c r="G3531" s="89" t="str">
        <f>IF(D3531="","",E3531*F3531)</f>
        <v/>
      </c>
    </row>
    <row r="3532" spans="1:11">
      <c r="A3532" s="832" t="s">
        <v>1908</v>
      </c>
      <c r="B3532" s="833"/>
      <c r="C3532" s="833"/>
      <c r="D3532" s="833"/>
      <c r="E3532" s="833"/>
      <c r="F3532" s="834"/>
      <c r="G3532" s="90">
        <f>IF(F3530="","",(SUM(G3530:G3531)))</f>
        <v>901.2</v>
      </c>
    </row>
    <row r="3533" spans="1:11">
      <c r="A3533" s="91"/>
      <c r="B3533" s="92"/>
      <c r="C3533" s="161"/>
      <c r="D3533" s="93"/>
      <c r="E3533" s="94"/>
      <c r="F3533" s="95"/>
      <c r="G3533" s="96"/>
    </row>
    <row r="3534" spans="1:11">
      <c r="A3534" s="835" t="s">
        <v>1909</v>
      </c>
      <c r="B3534" s="836"/>
      <c r="C3534" s="836"/>
      <c r="D3534" s="836"/>
      <c r="E3534" s="836"/>
      <c r="F3534" s="836"/>
      <c r="G3534" s="837"/>
    </row>
    <row r="3535" spans="1:11">
      <c r="A3535" s="84" t="s">
        <v>1903</v>
      </c>
      <c r="B3535" s="84" t="s">
        <v>131</v>
      </c>
      <c r="C3535" s="160" t="s">
        <v>1904</v>
      </c>
      <c r="D3535" s="84" t="s">
        <v>167</v>
      </c>
      <c r="E3535" s="85" t="s">
        <v>1905</v>
      </c>
      <c r="F3535" s="86" t="s">
        <v>1906</v>
      </c>
      <c r="G3535" s="86" t="s">
        <v>1907</v>
      </c>
    </row>
    <row r="3536" spans="1:11" ht="24">
      <c r="A3536" s="87" t="s">
        <v>2</v>
      </c>
      <c r="B3536" s="87">
        <v>88243</v>
      </c>
      <c r="C3536" s="278" t="s">
        <v>2100</v>
      </c>
      <c r="D3536" s="89" t="s">
        <v>137</v>
      </c>
      <c r="E3536" s="88">
        <v>1</v>
      </c>
      <c r="F3536" s="89">
        <v>24.36</v>
      </c>
      <c r="G3536" s="89">
        <f>IF(D3536="","",E3536*F3536)</f>
        <v>24.36</v>
      </c>
    </row>
    <row r="3537" spans="1:11" ht="24">
      <c r="A3537" s="87" t="s">
        <v>2</v>
      </c>
      <c r="B3537" s="87">
        <v>100308</v>
      </c>
      <c r="C3537" s="278" t="s">
        <v>1936</v>
      </c>
      <c r="D3537" s="89" t="s">
        <v>137</v>
      </c>
      <c r="E3537" s="88">
        <v>1</v>
      </c>
      <c r="F3537" s="89">
        <v>25.97</v>
      </c>
      <c r="G3537" s="89">
        <f>IF(D3537="","",E3537*F3537)</f>
        <v>25.97</v>
      </c>
    </row>
    <row r="3538" spans="1:11">
      <c r="A3538" s="832" t="s">
        <v>1908</v>
      </c>
      <c r="B3538" s="833"/>
      <c r="C3538" s="833"/>
      <c r="D3538" s="833"/>
      <c r="E3538" s="833"/>
      <c r="F3538" s="834"/>
      <c r="G3538" s="90">
        <f>IF(F3536="","",(SUM(G3536:G3537)))</f>
        <v>50.33</v>
      </c>
    </row>
    <row r="3539" spans="1:11">
      <c r="A3539" s="91"/>
      <c r="B3539" s="92"/>
      <c r="C3539" s="162"/>
      <c r="D3539" s="92"/>
      <c r="E3539" s="97"/>
      <c r="F3539" s="98"/>
      <c r="G3539" s="96"/>
    </row>
    <row r="3540" spans="1:11">
      <c r="A3540" s="835" t="s">
        <v>1912</v>
      </c>
      <c r="B3540" s="836"/>
      <c r="C3540" s="836"/>
      <c r="D3540" s="836"/>
      <c r="E3540" s="836"/>
      <c r="F3540" s="836"/>
      <c r="G3540" s="837"/>
    </row>
    <row r="3541" spans="1:11">
      <c r="A3541" s="84" t="s">
        <v>1903</v>
      </c>
      <c r="B3541" s="84" t="s">
        <v>131</v>
      </c>
      <c r="C3541" s="160" t="s">
        <v>1904</v>
      </c>
      <c r="D3541" s="84" t="s">
        <v>167</v>
      </c>
      <c r="E3541" s="85" t="s">
        <v>1905</v>
      </c>
      <c r="F3541" s="86" t="s">
        <v>1906</v>
      </c>
      <c r="G3541" s="86" t="s">
        <v>1907</v>
      </c>
    </row>
    <row r="3542" spans="1:11">
      <c r="A3542" s="87"/>
      <c r="B3542" s="87"/>
      <c r="C3542" s="278" t="str">
        <f>IF(B3542="","",IF($A$8="NÃO DESONERADO",(IF(A3542="SINAPI",VLOOKUP(B3542,#REF!,2,0),IF(A3542="SUDECAP",VLOOKUP(B3542,#REF!,3,0),IF(A3542="SETOP",VLOOKUP(B3542,#REF!,2,0),IF(A3542="COTAÇÃO",VLOOKUP(B3542,'Mapa Cotações'!$A:$N,2,0)))))),(IF(A3542="SINAPI",VLOOKUP(B3542,#REF!,2,0),IF(A3542="SUDECAP",VLOOKUP(B3542,#REF!,3,0),IF(A3542="SETOP",VLOOKUP(B3542,#REF!,2,0),IF(A3542="COTAÇÃO",VLOOKUP(B3542,'Mapa Cotações'!$A:$N,2,0))))))))</f>
        <v/>
      </c>
      <c r="D3542" s="89" t="str">
        <f>IF(B3542="","",IF($A$8="NÃO DESONERADO",(IF(A3542="SINAPI",VLOOKUP(B3542,#REF!,3,0),IF(A3542="SUDECAP",VLOOKUP(B3542,#REF!,4,0),IF(A3542="SETOP",VLOOKUP(B3542,#REF!,3,0),IF(A3542="COTAÇÃO",VLOOKUP(B3542,'Mapa Cotações'!$A:$N,3,0)))))),(IF(A3542="SINAPI",VLOOKUP(B3542,#REF!,3,0),IF(A3542="SUDECAP",VLOOKUP(B3542,#REF!,4,0),IF(A3542="SETOP",VLOOKUP(B3542,#REF!,3,0),IF(A3542="COTAÇÃO",VLOOKUP(B3542,'Mapa Cotações'!$A:$N,3,0))))))))</f>
        <v/>
      </c>
      <c r="E3542" s="88"/>
      <c r="F3542" s="89" t="str">
        <f>IF(B3542="","",IF($A$8="NÃO DESONERADO",(IF(A3542="SINAPI",VLOOKUP(B3542,#REF!,4,0),IF(A3542="SUDECAP",VLOOKUP(B3542,#REF!,5,0),IF(A3542="SETOP",VLOOKUP(B3542,#REF!,4,0),IF(A3542="COTAÇÃO",VLOOKUP(B3542,'Mapa Cotações'!$A:$N,13,0)))))),(IF(A3542="SINAPI",VLOOKUP(B3542,#REF!,4,0),IF(A3542="SUDECAP",VLOOKUP(B3542,#REF!,5,0),IF(A3542="SETOP",VLOOKUP(B3542,#REF!,4,0),IF(A3542="COTAÇÃO",VLOOKUP(B3542,'Mapa Cotações'!$A:$N,13,0))))))))</f>
        <v/>
      </c>
      <c r="G3542" s="89" t="str">
        <f>IF(D3542="","",E3542*F3542)</f>
        <v/>
      </c>
    </row>
    <row r="3543" spans="1:11">
      <c r="A3543" s="87"/>
      <c r="B3543" s="87"/>
      <c r="C3543" s="278" t="str">
        <f>IF(B3543="","",IF($A$8="NÃO DESONERADO",(IF(A3543="SINAPI",VLOOKUP(B3543,#REF!,2,0),IF(A3543="SUDECAP",VLOOKUP(B3543,#REF!,3,0),IF(A3543="SETOP",VLOOKUP(B3543,#REF!,2,0),IF(A3543="COTAÇÃO",VLOOKUP(B3543,'Mapa Cotações'!$A:$N,2,0)))))),(IF(A3543="SINAPI",VLOOKUP(B3543,#REF!,2,0),IF(A3543="SUDECAP",VLOOKUP(B3543,#REF!,3,0),IF(A3543="SETOP",VLOOKUP(B3543,#REF!,2,0),IF(A3543="COTAÇÃO",VLOOKUP(B3543,'Mapa Cotações'!$A:$N,2,0))))))))</f>
        <v/>
      </c>
      <c r="D3543" s="89" t="str">
        <f>IF(B3543="","",IF($A$8="NÃO DESONERADO",(IF(A3543="SINAPI",VLOOKUP(B3543,#REF!,3,0),IF(A3543="SUDECAP",VLOOKUP(B3543,#REF!,4,0),IF(A3543="SETOP",VLOOKUP(B3543,#REF!,3,0),IF(A3543="COTAÇÃO",VLOOKUP(B3543,'Mapa Cotações'!$A:$N,3,0)))))),(IF(A3543="SINAPI",VLOOKUP(B3543,#REF!,3,0),IF(A3543="SUDECAP",VLOOKUP(B3543,#REF!,4,0),IF(A3543="SETOP",VLOOKUP(B3543,#REF!,3,0),IF(A3543="COTAÇÃO",VLOOKUP(B3543,'Mapa Cotações'!$A:$N,3,0))))))))</f>
        <v/>
      </c>
      <c r="E3543" s="88"/>
      <c r="F3543" s="89" t="str">
        <f>IF(B3543="","",IF($A$8="NÃO DESONERADO",(IF(A3543="SINAPI",VLOOKUP(B3543,#REF!,4,0),IF(A3543="SUDECAP",VLOOKUP(B3543,#REF!,5,0),IF(A3543="SETOP",VLOOKUP(B3543,#REF!,4,0),IF(A3543="COTAÇÃO",VLOOKUP(B3543,'Mapa Cotações'!$A:$N,13,0)))))),(IF(A3543="SINAPI",VLOOKUP(B3543,#REF!,4,0),IF(A3543="SUDECAP",VLOOKUP(B3543,#REF!,5,0),IF(A3543="SETOP",VLOOKUP(B3543,#REF!,4,0),IF(A3543="COTAÇÃO",VLOOKUP(B3543,'Mapa Cotações'!$A:$N,13,0))))))))</f>
        <v/>
      </c>
      <c r="G3543" s="89" t="str">
        <f>IF(D3543="","",E3543*F3543)</f>
        <v/>
      </c>
    </row>
    <row r="3544" spans="1:11">
      <c r="A3544" s="832" t="s">
        <v>1908</v>
      </c>
      <c r="B3544" s="833" t="s">
        <v>1908</v>
      </c>
      <c r="C3544" s="833"/>
      <c r="D3544" s="833"/>
      <c r="E3544" s="833"/>
      <c r="F3544" s="834"/>
      <c r="G3544" s="90" t="str">
        <f>IF(F3542="","",(SUM(G3542:G3543)))</f>
        <v/>
      </c>
    </row>
    <row r="3545" spans="1:11" ht="13.5" thickBot="1">
      <c r="A3545" s="91"/>
      <c r="B3545" s="92"/>
      <c r="C3545" s="163"/>
      <c r="D3545" s="99"/>
      <c r="E3545" s="100"/>
      <c r="F3545" s="101"/>
      <c r="G3545" s="102"/>
    </row>
    <row r="3546" spans="1:11" ht="13.5" thickBot="1">
      <c r="A3546" s="838" t="s">
        <v>1259</v>
      </c>
      <c r="B3546" s="839"/>
      <c r="C3546" s="839"/>
      <c r="D3546" s="839"/>
      <c r="E3546" s="839"/>
      <c r="F3546" s="840"/>
      <c r="G3546" s="103">
        <f>SUM(G3532,G3538,G3544)</f>
        <v>951.53000000000009</v>
      </c>
    </row>
    <row r="3549" spans="1:11">
      <c r="A3549" s="237" t="s">
        <v>131</v>
      </c>
      <c r="B3549" s="190" t="s">
        <v>27</v>
      </c>
      <c r="C3549" s="841" t="s">
        <v>1281</v>
      </c>
      <c r="D3549" s="841"/>
      <c r="E3549" s="841"/>
      <c r="F3549" s="841"/>
      <c r="G3549" s="81" t="s">
        <v>127</v>
      </c>
      <c r="I3549" s="480" t="s">
        <v>1901</v>
      </c>
      <c r="J3549" s="80"/>
      <c r="K3549" s="80"/>
    </row>
    <row r="3550" spans="1:11" ht="64.5" customHeight="1">
      <c r="A3550" s="179" t="s">
        <v>1056</v>
      </c>
      <c r="B3550" s="82"/>
      <c r="C3550" s="830" t="s">
        <v>1057</v>
      </c>
      <c r="D3550" s="831"/>
      <c r="E3550" s="831"/>
      <c r="F3550" s="186">
        <f>G3569</f>
        <v>607.6328125</v>
      </c>
      <c r="G3550" s="83" t="s">
        <v>167</v>
      </c>
      <c r="I3550" s="481"/>
      <c r="J3550" s="272"/>
      <c r="K3550" s="272"/>
    </row>
    <row r="3551" spans="1:11">
      <c r="A3551" s="818" t="s">
        <v>1902</v>
      </c>
      <c r="B3551" s="819"/>
      <c r="C3551" s="819"/>
      <c r="D3551" s="819"/>
      <c r="E3551" s="819"/>
      <c r="F3551" s="819"/>
      <c r="G3551" s="820"/>
    </row>
    <row r="3552" spans="1:11">
      <c r="A3552" s="84" t="s">
        <v>1903</v>
      </c>
      <c r="B3552" s="84" t="s">
        <v>131</v>
      </c>
      <c r="C3552" s="160" t="s">
        <v>1904</v>
      </c>
      <c r="D3552" s="84" t="s">
        <v>167</v>
      </c>
      <c r="E3552" s="85" t="s">
        <v>1905</v>
      </c>
      <c r="F3552" s="86" t="s">
        <v>1906</v>
      </c>
      <c r="G3552" s="86" t="s">
        <v>1907</v>
      </c>
    </row>
    <row r="3553" spans="1:7" ht="36">
      <c r="A3553" s="87" t="s">
        <v>1917</v>
      </c>
      <c r="B3553" s="187" t="s">
        <v>2111</v>
      </c>
      <c r="C3553" s="278" t="str">
        <f>IF(B3553="","",IF($A$8="NÃO DESONERADO",(IF(A3553="SINAPI",VLOOKUP(B3553,#REF!,2,0),IF(A3553="SUDECAP",VLOOKUP(B3553,#REF!,3,0),IF(A3553="SETOP",VLOOKUP(B3553,#REF!,2,0),IF(A3553="COTAÇÃO",VLOOKUP(B3553,'Mapa Cotações'!$A:$N,2,0)))))),(IF(A3553="SINAPI",VLOOKUP(B3553,#REF!,2,0),IF(A3553="SUDECAP",VLOOKUP(B3553,#REF!,3,0),IF(A3553="SETOP",VLOOKUP(B3553,#REF!,2,0),IF(A3553="COTAÇÃO",VLOOKUP(B3553,'Mapa Cotações'!$A:$N,2,0))))))))</f>
        <v>GRELHA EM ALUMÍNIO COM REGISTRO PARA RETORNO DE AR MODELO AR-AG, L=625, H=325, REF.: TROX OU EQUIVALENTE</v>
      </c>
      <c r="D3553" s="89" t="str">
        <f>IF(B3553="","",IF($A$8="NÃO DESONERADO",(IF(A3553="SINAPI",VLOOKUP(B3553,#REF!,3,0),IF(A3553="SUDECAP",VLOOKUP(B3553,#REF!,4,0),IF(A3553="SETOP",VLOOKUP(B3553,#REF!,3,0),IF(A3553="COTAÇÃO",VLOOKUP(B3553,'Mapa Cotações'!$A:$N,3,0)))))),(IF(A3553="SINAPI",VLOOKUP(B3553,#REF!,3,0),IF(A3553="SUDECAP",VLOOKUP(B3553,#REF!,4,0),IF(A3553="SETOP",VLOOKUP(B3553,#REF!,3,0),IF(A3553="COTAÇÃO",VLOOKUP(B3553,'Mapa Cotações'!$A:$N,3,0))))))))</f>
        <v>UN</v>
      </c>
      <c r="E3553" s="88">
        <v>1</v>
      </c>
      <c r="F3553" s="89">
        <f>IF(B3553="","",IF($A$8="NÃO DESONERADO",(IF(A3553="SINAPI",VLOOKUP(B3553,#REF!,4,0),IF(A3553="SUDECAP",VLOOKUP(B3553,#REF!,5,0),IF(A3553="SETOP",VLOOKUP(B3553,#REF!,4,0),IF(A3553="COTAÇÃO",VLOOKUP(B3553,'Mapa Cotações'!$A:$N,13,0)))))),(IF(A3553="SINAPI",VLOOKUP(B3553,#REF!,4,0),IF(A3553="SUDECAP",VLOOKUP(B3553,#REF!,5,0),IF(A3553="SETOP",VLOOKUP(B3553,#REF!,4,0),IF(A3553="COTAÇÃO",VLOOKUP(B3553,'Mapa Cotações'!$A:$N,13,0))))))))</f>
        <v>505.4</v>
      </c>
      <c r="G3553" s="89">
        <f>IF(D3553="","",E3553*F3553)</f>
        <v>505.4</v>
      </c>
    </row>
    <row r="3554" spans="1:7">
      <c r="A3554" s="87"/>
      <c r="B3554" s="87"/>
      <c r="C3554" s="278" t="str">
        <f>IF(B3554="","",IF($A$8="NÃO DESONERADO",(IF(A3554="SINAPI",VLOOKUP(B3554,#REF!,2,0),IF(A3554="SUDECAP",VLOOKUP(B3554,#REF!,3,0),IF(A3554="SETOP",VLOOKUP(B3554,#REF!,2,0),IF(A3554="COTAÇÃO",VLOOKUP(B3554,'Mapa Cotações'!$A:$N,2,0)))))),(IF(A3554="SINAPI",VLOOKUP(B3554,#REF!,2,0),IF(A3554="SUDECAP",VLOOKUP(B3554,#REF!,3,0),IF(A3554="SETOP",VLOOKUP(B3554,#REF!,2,0),IF(A3554="COTAÇÃO",VLOOKUP(B3554,'Mapa Cotações'!$A:$N,2,0))))))))</f>
        <v/>
      </c>
      <c r="D3554" s="89" t="str">
        <f>IF(B3554="","",IF($A$8="NÃO DESONERADO",(IF(A3554="SINAPI",VLOOKUP(B3554,#REF!,3,0),IF(A3554="SUDECAP",VLOOKUP(B3554,#REF!,4,0),IF(A3554="SETOP",VLOOKUP(B3554,#REF!,3,0),IF(A3554="COTAÇÃO",VLOOKUP(B3554,'Mapa Cotações'!$A:$N,3,0)))))),(IF(A3554="SINAPI",VLOOKUP(B3554,#REF!,3,0),IF(A3554="SUDECAP",VLOOKUP(B3554,#REF!,4,0),IF(A3554="SETOP",VLOOKUP(B3554,#REF!,3,0),IF(A3554="COTAÇÃO",VLOOKUP(B3554,'Mapa Cotações'!$A:$N,3,0))))))))</f>
        <v/>
      </c>
      <c r="E3554" s="88"/>
      <c r="F3554" s="89" t="str">
        <f>IF(B3554="","",IF($A$8="NÃO DESONERADO",(IF(A3554="SINAPI",VLOOKUP(B3554,#REF!,4,0),IF(A3554="SUDECAP",VLOOKUP(B3554,#REF!,5,0),IF(A3554="SETOP",VLOOKUP(B3554,#REF!,4,0),IF(A3554="COTAÇÃO",VLOOKUP(B3554,'Mapa Cotações'!$A:$N,13,0)))))),(IF(A3554="SINAPI",VLOOKUP(B3554,#REF!,4,0),IF(A3554="SUDECAP",VLOOKUP(B3554,#REF!,5,0),IF(A3554="SETOP",VLOOKUP(B3554,#REF!,4,0),IF(A3554="COTAÇÃO",VLOOKUP(B3554,'Mapa Cotações'!$A:$N,13,0))))))))</f>
        <v/>
      </c>
      <c r="G3554" s="89" t="str">
        <f>IF(D3554="","",E3554*F3554)</f>
        <v/>
      </c>
    </row>
    <row r="3555" spans="1:7">
      <c r="A3555" s="832" t="s">
        <v>1908</v>
      </c>
      <c r="B3555" s="833"/>
      <c r="C3555" s="833"/>
      <c r="D3555" s="833"/>
      <c r="E3555" s="833"/>
      <c r="F3555" s="834"/>
      <c r="G3555" s="90">
        <f>IF(F3553="","",(SUM(G3553:G3554)))</f>
        <v>505.4</v>
      </c>
    </row>
    <row r="3556" spans="1:7">
      <c r="A3556" s="91"/>
      <c r="B3556" s="92"/>
      <c r="C3556" s="161"/>
      <c r="D3556" s="93"/>
      <c r="E3556" s="94"/>
      <c r="F3556" s="95"/>
      <c r="G3556" s="96"/>
    </row>
    <row r="3557" spans="1:7">
      <c r="A3557" s="835" t="s">
        <v>1909</v>
      </c>
      <c r="B3557" s="836"/>
      <c r="C3557" s="836"/>
      <c r="D3557" s="836"/>
      <c r="E3557" s="836"/>
      <c r="F3557" s="836"/>
      <c r="G3557" s="837"/>
    </row>
    <row r="3558" spans="1:7">
      <c r="A3558" s="84" t="s">
        <v>1903</v>
      </c>
      <c r="B3558" s="84" t="s">
        <v>131</v>
      </c>
      <c r="C3558" s="160" t="s">
        <v>1904</v>
      </c>
      <c r="D3558" s="84" t="s">
        <v>167</v>
      </c>
      <c r="E3558" s="85" t="s">
        <v>1905</v>
      </c>
      <c r="F3558" s="86" t="s">
        <v>1906</v>
      </c>
      <c r="G3558" s="86" t="s">
        <v>1907</v>
      </c>
    </row>
    <row r="3559" spans="1:7" ht="24">
      <c r="A3559" s="87" t="s">
        <v>2</v>
      </c>
      <c r="B3559" s="87">
        <v>88243</v>
      </c>
      <c r="C3559" s="278" t="s">
        <v>2100</v>
      </c>
      <c r="D3559" s="89" t="s">
        <v>137</v>
      </c>
      <c r="E3559" s="88">
        <f>10*(0.625*0.325)</f>
        <v>2.03125</v>
      </c>
      <c r="F3559" s="89">
        <v>24.36</v>
      </c>
      <c r="G3559" s="89">
        <f>IF(D3559="","",E3559*F3559)</f>
        <v>49.481249999999996</v>
      </c>
    </row>
    <row r="3560" spans="1:7" ht="24">
      <c r="A3560" s="87" t="s">
        <v>2</v>
      </c>
      <c r="B3560" s="87">
        <v>100308</v>
      </c>
      <c r="C3560" s="278" t="s">
        <v>1936</v>
      </c>
      <c r="D3560" s="89" t="s">
        <v>137</v>
      </c>
      <c r="E3560" s="88">
        <f>10*(0.625*0.325)</f>
        <v>2.03125</v>
      </c>
      <c r="F3560" s="89">
        <v>25.97</v>
      </c>
      <c r="G3560" s="89">
        <f>IF(D3560="","",E3560*F3560)</f>
        <v>52.751562499999999</v>
      </c>
    </row>
    <row r="3561" spans="1:7">
      <c r="A3561" s="832" t="s">
        <v>1908</v>
      </c>
      <c r="B3561" s="833"/>
      <c r="C3561" s="833"/>
      <c r="D3561" s="833"/>
      <c r="E3561" s="833"/>
      <c r="F3561" s="834"/>
      <c r="G3561" s="90">
        <f>IF(F3559="","",(SUM(G3559:G3560)))</f>
        <v>102.23281249999999</v>
      </c>
    </row>
    <row r="3562" spans="1:7">
      <c r="A3562" s="91"/>
      <c r="B3562" s="92"/>
      <c r="C3562" s="162"/>
      <c r="D3562" s="92"/>
      <c r="E3562" s="97"/>
      <c r="F3562" s="98"/>
      <c r="G3562" s="96"/>
    </row>
    <row r="3563" spans="1:7">
      <c r="A3563" s="835" t="s">
        <v>1912</v>
      </c>
      <c r="B3563" s="836"/>
      <c r="C3563" s="836"/>
      <c r="D3563" s="836"/>
      <c r="E3563" s="836"/>
      <c r="F3563" s="836"/>
      <c r="G3563" s="837"/>
    </row>
    <row r="3564" spans="1:7">
      <c r="A3564" s="84" t="s">
        <v>1903</v>
      </c>
      <c r="B3564" s="84" t="s">
        <v>131</v>
      </c>
      <c r="C3564" s="160" t="s">
        <v>1904</v>
      </c>
      <c r="D3564" s="84" t="s">
        <v>167</v>
      </c>
      <c r="E3564" s="85" t="s">
        <v>1905</v>
      </c>
      <c r="F3564" s="86" t="s">
        <v>1906</v>
      </c>
      <c r="G3564" s="86" t="s">
        <v>1907</v>
      </c>
    </row>
    <row r="3565" spans="1:7">
      <c r="A3565" s="87"/>
      <c r="B3565" s="87"/>
      <c r="C3565" s="278" t="str">
        <f>IF(B3565="","",IF($A$8="NÃO DESONERADO",(IF(A3565="SINAPI",VLOOKUP(B3565,#REF!,2,0),IF(A3565="SUDECAP",VLOOKUP(B3565,#REF!,3,0),IF(A3565="SETOP",VLOOKUP(B3565,#REF!,2,0),IF(A3565="COTAÇÃO",VLOOKUP(B3565,'Mapa Cotações'!$A:$N,2,0)))))),(IF(A3565="SINAPI",VLOOKUP(B3565,#REF!,2,0),IF(A3565="SUDECAP",VLOOKUP(B3565,#REF!,3,0),IF(A3565="SETOP",VLOOKUP(B3565,#REF!,2,0),IF(A3565="COTAÇÃO",VLOOKUP(B3565,'Mapa Cotações'!$A:$N,2,0))))))))</f>
        <v/>
      </c>
      <c r="D3565" s="89" t="str">
        <f>IF(B3565="","",IF($A$8="NÃO DESONERADO",(IF(A3565="SINAPI",VLOOKUP(B3565,#REF!,3,0),IF(A3565="SUDECAP",VLOOKUP(B3565,#REF!,4,0),IF(A3565="SETOP",VLOOKUP(B3565,#REF!,3,0),IF(A3565="COTAÇÃO",VLOOKUP(B3565,'Mapa Cotações'!$A:$N,3,0)))))),(IF(A3565="SINAPI",VLOOKUP(B3565,#REF!,3,0),IF(A3565="SUDECAP",VLOOKUP(B3565,#REF!,4,0),IF(A3565="SETOP",VLOOKUP(B3565,#REF!,3,0),IF(A3565="COTAÇÃO",VLOOKUP(B3565,'Mapa Cotações'!$A:$N,3,0))))))))</f>
        <v/>
      </c>
      <c r="E3565" s="88"/>
      <c r="F3565" s="89" t="str">
        <f>IF(B3565="","",IF($A$8="NÃO DESONERADO",(IF(A3565="SINAPI",VLOOKUP(B3565,#REF!,4,0),IF(A3565="SUDECAP",VLOOKUP(B3565,#REF!,5,0),IF(A3565="SETOP",VLOOKUP(B3565,#REF!,4,0),IF(A3565="COTAÇÃO",VLOOKUP(B3565,'Mapa Cotações'!$A:$N,13,0)))))),(IF(A3565="SINAPI",VLOOKUP(B3565,#REF!,4,0),IF(A3565="SUDECAP",VLOOKUP(B3565,#REF!,5,0),IF(A3565="SETOP",VLOOKUP(B3565,#REF!,4,0),IF(A3565="COTAÇÃO",VLOOKUP(B3565,'Mapa Cotações'!$A:$N,13,0))))))))</f>
        <v/>
      </c>
      <c r="G3565" s="89" t="str">
        <f>IF(D3565="","",E3565*F3565)</f>
        <v/>
      </c>
    </row>
    <row r="3566" spans="1:7">
      <c r="A3566" s="87"/>
      <c r="B3566" s="87"/>
      <c r="C3566" s="278" t="str">
        <f>IF(B3566="","",IF($A$8="NÃO DESONERADO",(IF(A3566="SINAPI",VLOOKUP(B3566,#REF!,2,0),IF(A3566="SUDECAP",VLOOKUP(B3566,#REF!,3,0),IF(A3566="SETOP",VLOOKUP(B3566,#REF!,2,0),IF(A3566="COTAÇÃO",VLOOKUP(B3566,'Mapa Cotações'!$A:$N,2,0)))))),(IF(A3566="SINAPI",VLOOKUP(B3566,#REF!,2,0),IF(A3566="SUDECAP",VLOOKUP(B3566,#REF!,3,0),IF(A3566="SETOP",VLOOKUP(B3566,#REF!,2,0),IF(A3566="COTAÇÃO",VLOOKUP(B3566,'Mapa Cotações'!$A:$N,2,0))))))))</f>
        <v/>
      </c>
      <c r="D3566" s="89" t="str">
        <f>IF(B3566="","",IF($A$8="NÃO DESONERADO",(IF(A3566="SINAPI",VLOOKUP(B3566,#REF!,3,0),IF(A3566="SUDECAP",VLOOKUP(B3566,#REF!,4,0),IF(A3566="SETOP",VLOOKUP(B3566,#REF!,3,0),IF(A3566="COTAÇÃO",VLOOKUP(B3566,'Mapa Cotações'!$A:$N,3,0)))))),(IF(A3566="SINAPI",VLOOKUP(B3566,#REF!,3,0),IF(A3566="SUDECAP",VLOOKUP(B3566,#REF!,4,0),IF(A3566="SETOP",VLOOKUP(B3566,#REF!,3,0),IF(A3566="COTAÇÃO",VLOOKUP(B3566,'Mapa Cotações'!$A:$N,3,0))))))))</f>
        <v/>
      </c>
      <c r="E3566" s="88"/>
      <c r="F3566" s="89" t="str">
        <f>IF(B3566="","",IF($A$8="NÃO DESONERADO",(IF(A3566="SINAPI",VLOOKUP(B3566,#REF!,4,0),IF(A3566="SUDECAP",VLOOKUP(B3566,#REF!,5,0),IF(A3566="SETOP",VLOOKUP(B3566,#REF!,4,0),IF(A3566="COTAÇÃO",VLOOKUP(B3566,'Mapa Cotações'!$A:$N,13,0)))))),(IF(A3566="SINAPI",VLOOKUP(B3566,#REF!,4,0),IF(A3566="SUDECAP",VLOOKUP(B3566,#REF!,5,0),IF(A3566="SETOP",VLOOKUP(B3566,#REF!,4,0),IF(A3566="COTAÇÃO",VLOOKUP(B3566,'Mapa Cotações'!$A:$N,13,0))))))))</f>
        <v/>
      </c>
      <c r="G3566" s="89" t="str">
        <f>IF(D3566="","",E3566*F3566)</f>
        <v/>
      </c>
    </row>
    <row r="3567" spans="1:7">
      <c r="A3567" s="832" t="s">
        <v>1908</v>
      </c>
      <c r="B3567" s="833" t="s">
        <v>1908</v>
      </c>
      <c r="C3567" s="833"/>
      <c r="D3567" s="833"/>
      <c r="E3567" s="833"/>
      <c r="F3567" s="834"/>
      <c r="G3567" s="90" t="str">
        <f>IF(F3565="","",(SUM(G3565:G3566)))</f>
        <v/>
      </c>
    </row>
    <row r="3568" spans="1:7" ht="13.5" thickBot="1">
      <c r="A3568" s="91"/>
      <c r="B3568" s="92"/>
      <c r="C3568" s="163"/>
      <c r="D3568" s="99"/>
      <c r="E3568" s="100"/>
      <c r="F3568" s="101"/>
      <c r="G3568" s="102"/>
    </row>
    <row r="3569" spans="1:11" ht="13.5" thickBot="1">
      <c r="A3569" s="838" t="s">
        <v>1259</v>
      </c>
      <c r="B3569" s="839"/>
      <c r="C3569" s="839"/>
      <c r="D3569" s="839"/>
      <c r="E3569" s="839"/>
      <c r="F3569" s="840"/>
      <c r="G3569" s="103">
        <f>SUM(G3555,G3561,G3567)</f>
        <v>607.6328125</v>
      </c>
    </row>
    <row r="3572" spans="1:11">
      <c r="A3572" s="237" t="s">
        <v>131</v>
      </c>
      <c r="B3572" s="190" t="s">
        <v>27</v>
      </c>
      <c r="C3572" s="841" t="s">
        <v>1281</v>
      </c>
      <c r="D3572" s="841"/>
      <c r="E3572" s="841"/>
      <c r="F3572" s="841"/>
      <c r="G3572" s="81" t="s">
        <v>127</v>
      </c>
      <c r="I3572" s="480" t="s">
        <v>1901</v>
      </c>
      <c r="J3572" s="80"/>
      <c r="K3572" s="80"/>
    </row>
    <row r="3573" spans="1:11" ht="64.5" customHeight="1">
      <c r="A3573" s="179" t="s">
        <v>1059</v>
      </c>
      <c r="B3573" s="82"/>
      <c r="C3573" s="830" t="s">
        <v>1060</v>
      </c>
      <c r="D3573" s="831"/>
      <c r="E3573" s="831"/>
      <c r="F3573" s="186">
        <f>G3592</f>
        <v>471.4983125</v>
      </c>
      <c r="G3573" s="83" t="s">
        <v>167</v>
      </c>
      <c r="I3573" s="481"/>
      <c r="J3573" s="272"/>
      <c r="K3573" s="272"/>
    </row>
    <row r="3574" spans="1:11">
      <c r="A3574" s="818" t="s">
        <v>1902</v>
      </c>
      <c r="B3574" s="819"/>
      <c r="C3574" s="819"/>
      <c r="D3574" s="819"/>
      <c r="E3574" s="819"/>
      <c r="F3574" s="819"/>
      <c r="G3574" s="820"/>
    </row>
    <row r="3575" spans="1:11">
      <c r="A3575" s="84" t="s">
        <v>1903</v>
      </c>
      <c r="B3575" s="84" t="s">
        <v>131</v>
      </c>
      <c r="C3575" s="160" t="s">
        <v>1904</v>
      </c>
      <c r="D3575" s="84" t="s">
        <v>167</v>
      </c>
      <c r="E3575" s="85" t="s">
        <v>1905</v>
      </c>
      <c r="F3575" s="86" t="s">
        <v>1906</v>
      </c>
      <c r="G3575" s="86" t="s">
        <v>1907</v>
      </c>
    </row>
    <row r="3576" spans="1:11" ht="36">
      <c r="A3576" s="87" t="s">
        <v>1917</v>
      </c>
      <c r="B3576" s="187" t="s">
        <v>2112</v>
      </c>
      <c r="C3576" s="278" t="str">
        <f>IF(B3576="","",IF($A$8="NÃO DESONERADO",(IF(A3576="SINAPI",VLOOKUP(B3576,#REF!,2,0),IF(A3576="SUDECAP",VLOOKUP(B3576,#REF!,3,0),IF(A3576="SETOP",VLOOKUP(B3576,#REF!,2,0),IF(A3576="COTAÇÃO",VLOOKUP(B3576,'Mapa Cotações'!$A:$N,2,0)))))),(IF(A3576="SINAPI",VLOOKUP(B3576,#REF!,2,0),IF(A3576="SUDECAP",VLOOKUP(B3576,#REF!,3,0),IF(A3576="SETOP",VLOOKUP(B3576,#REF!,2,0),IF(A3576="COTAÇÃO",VLOOKUP(B3576,'Mapa Cotações'!$A:$N,2,0))))))))</f>
        <v>GRELHA EM ALUMÍNIO COM REGISTRO PARA RETORNO DE AR MODELO AR-AG, L=425, H=325, REF.: TROX OU EQUIVALENTE</v>
      </c>
      <c r="D3576" s="89" t="str">
        <f>IF(B3576="","",IF($A$8="NÃO DESONERADO",(IF(A3576="SINAPI",VLOOKUP(B3576,#REF!,3,0),IF(A3576="SUDECAP",VLOOKUP(B3576,#REF!,4,0),IF(A3576="SETOP",VLOOKUP(B3576,#REF!,3,0),IF(A3576="COTAÇÃO",VLOOKUP(B3576,'Mapa Cotações'!$A:$N,3,0)))))),(IF(A3576="SINAPI",VLOOKUP(B3576,#REF!,3,0),IF(A3576="SUDECAP",VLOOKUP(B3576,#REF!,4,0),IF(A3576="SETOP",VLOOKUP(B3576,#REF!,3,0),IF(A3576="COTAÇÃO",VLOOKUP(B3576,'Mapa Cotações'!$A:$N,3,0))))))))</f>
        <v>UN</v>
      </c>
      <c r="E3576" s="88">
        <v>1</v>
      </c>
      <c r="F3576" s="89">
        <f>IF(B3576="","",IF($A$8="NÃO DESONERADO",(IF(A3576="SINAPI",VLOOKUP(B3576,#REF!,4,0),IF(A3576="SUDECAP",VLOOKUP(B3576,#REF!,5,0),IF(A3576="SETOP",VLOOKUP(B3576,#REF!,4,0),IF(A3576="COTAÇÃO",VLOOKUP(B3576,'Mapa Cotações'!$A:$N,13,0)))))),(IF(A3576="SINAPI",VLOOKUP(B3576,#REF!,4,0),IF(A3576="SUDECAP",VLOOKUP(B3576,#REF!,5,0),IF(A3576="SETOP",VLOOKUP(B3576,#REF!,4,0),IF(A3576="COTAÇÃO",VLOOKUP(B3576,'Mapa Cotações'!$A:$N,13,0))))))))</f>
        <v>401.98</v>
      </c>
      <c r="G3576" s="89">
        <f>IF(D3576="","",E3576*F3576)</f>
        <v>401.98</v>
      </c>
    </row>
    <row r="3577" spans="1:11">
      <c r="A3577" s="87"/>
      <c r="B3577" s="87"/>
      <c r="C3577" s="278" t="str">
        <f>IF(B3577="","",IF($A$8="NÃO DESONERADO",(IF(A3577="SINAPI",VLOOKUP(B3577,#REF!,2,0),IF(A3577="SUDECAP",VLOOKUP(B3577,#REF!,3,0),IF(A3577="SETOP",VLOOKUP(B3577,#REF!,2,0),IF(A3577="COTAÇÃO",VLOOKUP(B3577,'Mapa Cotações'!$A:$N,2,0)))))),(IF(A3577="SINAPI",VLOOKUP(B3577,#REF!,2,0),IF(A3577="SUDECAP",VLOOKUP(B3577,#REF!,3,0),IF(A3577="SETOP",VLOOKUP(B3577,#REF!,2,0),IF(A3577="COTAÇÃO",VLOOKUP(B3577,'Mapa Cotações'!$A:$N,2,0))))))))</f>
        <v/>
      </c>
      <c r="D3577" s="89" t="str">
        <f>IF(B3577="","",IF($A$8="NÃO DESONERADO",(IF(A3577="SINAPI",VLOOKUP(B3577,#REF!,3,0),IF(A3577="SUDECAP",VLOOKUP(B3577,#REF!,4,0),IF(A3577="SETOP",VLOOKUP(B3577,#REF!,3,0),IF(A3577="COTAÇÃO",VLOOKUP(B3577,'Mapa Cotações'!$A:$N,3,0)))))),(IF(A3577="SINAPI",VLOOKUP(B3577,#REF!,3,0),IF(A3577="SUDECAP",VLOOKUP(B3577,#REF!,4,0),IF(A3577="SETOP",VLOOKUP(B3577,#REF!,3,0),IF(A3577="COTAÇÃO",VLOOKUP(B3577,'Mapa Cotações'!$A:$N,3,0))))))))</f>
        <v/>
      </c>
      <c r="E3577" s="88"/>
      <c r="F3577" s="89" t="str">
        <f>IF(B3577="","",IF($A$8="NÃO DESONERADO",(IF(A3577="SINAPI",VLOOKUP(B3577,#REF!,4,0),IF(A3577="SUDECAP",VLOOKUP(B3577,#REF!,5,0),IF(A3577="SETOP",VLOOKUP(B3577,#REF!,4,0),IF(A3577="COTAÇÃO",VLOOKUP(B3577,'Mapa Cotações'!$A:$N,13,0)))))),(IF(A3577="SINAPI",VLOOKUP(B3577,#REF!,4,0),IF(A3577="SUDECAP",VLOOKUP(B3577,#REF!,5,0),IF(A3577="SETOP",VLOOKUP(B3577,#REF!,4,0),IF(A3577="COTAÇÃO",VLOOKUP(B3577,'Mapa Cotações'!$A:$N,13,0))))))))</f>
        <v/>
      </c>
      <c r="G3577" s="89" t="str">
        <f>IF(D3577="","",E3577*F3577)</f>
        <v/>
      </c>
    </row>
    <row r="3578" spans="1:11">
      <c r="A3578" s="832" t="s">
        <v>1908</v>
      </c>
      <c r="B3578" s="833"/>
      <c r="C3578" s="833"/>
      <c r="D3578" s="833"/>
      <c r="E3578" s="833"/>
      <c r="F3578" s="834"/>
      <c r="G3578" s="90">
        <f>IF(F3576="","",(SUM(G3576:G3577)))</f>
        <v>401.98</v>
      </c>
    </row>
    <row r="3579" spans="1:11">
      <c r="A3579" s="91"/>
      <c r="B3579" s="92"/>
      <c r="C3579" s="161"/>
      <c r="D3579" s="93"/>
      <c r="E3579" s="94"/>
      <c r="F3579" s="95"/>
      <c r="G3579" s="96"/>
    </row>
    <row r="3580" spans="1:11">
      <c r="A3580" s="835" t="s">
        <v>1909</v>
      </c>
      <c r="B3580" s="836"/>
      <c r="C3580" s="836"/>
      <c r="D3580" s="836"/>
      <c r="E3580" s="836"/>
      <c r="F3580" s="836"/>
      <c r="G3580" s="837"/>
    </row>
    <row r="3581" spans="1:11">
      <c r="A3581" s="84" t="s">
        <v>1903</v>
      </c>
      <c r="B3581" s="84" t="s">
        <v>131</v>
      </c>
      <c r="C3581" s="160" t="s">
        <v>1904</v>
      </c>
      <c r="D3581" s="84" t="s">
        <v>167</v>
      </c>
      <c r="E3581" s="85" t="s">
        <v>1905</v>
      </c>
      <c r="F3581" s="86" t="s">
        <v>1906</v>
      </c>
      <c r="G3581" s="86" t="s">
        <v>1907</v>
      </c>
    </row>
    <row r="3582" spans="1:11" ht="24">
      <c r="A3582" s="87" t="s">
        <v>2</v>
      </c>
      <c r="B3582" s="87">
        <v>88243</v>
      </c>
      <c r="C3582" s="278" t="s">
        <v>2100</v>
      </c>
      <c r="D3582" s="89" t="s">
        <v>137</v>
      </c>
      <c r="E3582" s="88">
        <f>10*(0.425*0.325)</f>
        <v>1.3812500000000001</v>
      </c>
      <c r="F3582" s="89">
        <v>24.36</v>
      </c>
      <c r="G3582" s="89">
        <f>IF(D3582="","",E3582*F3582)</f>
        <v>33.64725</v>
      </c>
    </row>
    <row r="3583" spans="1:11" ht="24">
      <c r="A3583" s="87" t="s">
        <v>2</v>
      </c>
      <c r="B3583" s="87">
        <v>100308</v>
      </c>
      <c r="C3583" s="278" t="s">
        <v>1936</v>
      </c>
      <c r="D3583" s="89" t="s">
        <v>137</v>
      </c>
      <c r="E3583" s="88">
        <f>10*(0.425*0.325)</f>
        <v>1.3812500000000001</v>
      </c>
      <c r="F3583" s="89">
        <v>25.97</v>
      </c>
      <c r="G3583" s="89">
        <f>IF(D3583="","",E3583*F3583)</f>
        <v>35.871062500000001</v>
      </c>
    </row>
    <row r="3584" spans="1:11">
      <c r="A3584" s="832" t="s">
        <v>1908</v>
      </c>
      <c r="B3584" s="833"/>
      <c r="C3584" s="833"/>
      <c r="D3584" s="833"/>
      <c r="E3584" s="833"/>
      <c r="F3584" s="834"/>
      <c r="G3584" s="90">
        <f>IF(F3582="","",(SUM(G3582:G3583)))</f>
        <v>69.518312500000008</v>
      </c>
    </row>
    <row r="3585" spans="1:11">
      <c r="A3585" s="91"/>
      <c r="B3585" s="92"/>
      <c r="C3585" s="162"/>
      <c r="D3585" s="92"/>
      <c r="E3585" s="97"/>
      <c r="F3585" s="98"/>
      <c r="G3585" s="96"/>
    </row>
    <row r="3586" spans="1:11">
      <c r="A3586" s="835" t="s">
        <v>1912</v>
      </c>
      <c r="B3586" s="836"/>
      <c r="C3586" s="836"/>
      <c r="D3586" s="836"/>
      <c r="E3586" s="836"/>
      <c r="F3586" s="836"/>
      <c r="G3586" s="837"/>
    </row>
    <row r="3587" spans="1:11">
      <c r="A3587" s="84" t="s">
        <v>1903</v>
      </c>
      <c r="B3587" s="84" t="s">
        <v>131</v>
      </c>
      <c r="C3587" s="160" t="s">
        <v>1904</v>
      </c>
      <c r="D3587" s="84" t="s">
        <v>167</v>
      </c>
      <c r="E3587" s="85" t="s">
        <v>1905</v>
      </c>
      <c r="F3587" s="86" t="s">
        <v>1906</v>
      </c>
      <c r="G3587" s="86" t="s">
        <v>1907</v>
      </c>
    </row>
    <row r="3588" spans="1:11">
      <c r="A3588" s="87"/>
      <c r="B3588" s="87"/>
      <c r="C3588" s="278" t="str">
        <f>IF(B3588="","",IF($A$8="NÃO DESONERADO",(IF(A3588="SINAPI",VLOOKUP(B3588,#REF!,2,0),IF(A3588="SUDECAP",VLOOKUP(B3588,#REF!,3,0),IF(A3588="SETOP",VLOOKUP(B3588,#REF!,2,0),IF(A3588="COTAÇÃO",VLOOKUP(B3588,'Mapa Cotações'!$A:$N,2,0)))))),(IF(A3588="SINAPI",VLOOKUP(B3588,#REF!,2,0),IF(A3588="SUDECAP",VLOOKUP(B3588,#REF!,3,0),IF(A3588="SETOP",VLOOKUP(B3588,#REF!,2,0),IF(A3588="COTAÇÃO",VLOOKUP(B3588,'Mapa Cotações'!$A:$N,2,0))))))))</f>
        <v/>
      </c>
      <c r="D3588" s="89" t="str">
        <f>IF(B3588="","",IF($A$8="NÃO DESONERADO",(IF(A3588="SINAPI",VLOOKUP(B3588,#REF!,3,0),IF(A3588="SUDECAP",VLOOKUP(B3588,#REF!,4,0),IF(A3588="SETOP",VLOOKUP(B3588,#REF!,3,0),IF(A3588="COTAÇÃO",VLOOKUP(B3588,'Mapa Cotações'!$A:$N,3,0)))))),(IF(A3588="SINAPI",VLOOKUP(B3588,#REF!,3,0),IF(A3588="SUDECAP",VLOOKUP(B3588,#REF!,4,0),IF(A3588="SETOP",VLOOKUP(B3588,#REF!,3,0),IF(A3588="COTAÇÃO",VLOOKUP(B3588,'Mapa Cotações'!$A:$N,3,0))))))))</f>
        <v/>
      </c>
      <c r="E3588" s="88"/>
      <c r="F3588" s="89" t="str">
        <f>IF(B3588="","",IF($A$8="NÃO DESONERADO",(IF(A3588="SINAPI",VLOOKUP(B3588,#REF!,4,0),IF(A3588="SUDECAP",VLOOKUP(B3588,#REF!,5,0),IF(A3588="SETOP",VLOOKUP(B3588,#REF!,4,0),IF(A3588="COTAÇÃO",VLOOKUP(B3588,'Mapa Cotações'!$A:$N,13,0)))))),(IF(A3588="SINAPI",VLOOKUP(B3588,#REF!,4,0),IF(A3588="SUDECAP",VLOOKUP(B3588,#REF!,5,0),IF(A3588="SETOP",VLOOKUP(B3588,#REF!,4,0),IF(A3588="COTAÇÃO",VLOOKUP(B3588,'Mapa Cotações'!$A:$N,13,0))))))))</f>
        <v/>
      </c>
      <c r="G3588" s="89" t="str">
        <f>IF(D3588="","",E3588*F3588)</f>
        <v/>
      </c>
    </row>
    <row r="3589" spans="1:11">
      <c r="A3589" s="87"/>
      <c r="B3589" s="87"/>
      <c r="C3589" s="278" t="str">
        <f>IF(B3589="","",IF($A$8="NÃO DESONERADO",(IF(A3589="SINAPI",VLOOKUP(B3589,#REF!,2,0),IF(A3589="SUDECAP",VLOOKUP(B3589,#REF!,3,0),IF(A3589="SETOP",VLOOKUP(B3589,#REF!,2,0),IF(A3589="COTAÇÃO",VLOOKUP(B3589,'Mapa Cotações'!$A:$N,2,0)))))),(IF(A3589="SINAPI",VLOOKUP(B3589,#REF!,2,0),IF(A3589="SUDECAP",VLOOKUP(B3589,#REF!,3,0),IF(A3589="SETOP",VLOOKUP(B3589,#REF!,2,0),IF(A3589="COTAÇÃO",VLOOKUP(B3589,'Mapa Cotações'!$A:$N,2,0))))))))</f>
        <v/>
      </c>
      <c r="D3589" s="89" t="str">
        <f>IF(B3589="","",IF($A$8="NÃO DESONERADO",(IF(A3589="SINAPI",VLOOKUP(B3589,#REF!,3,0),IF(A3589="SUDECAP",VLOOKUP(B3589,#REF!,4,0),IF(A3589="SETOP",VLOOKUP(B3589,#REF!,3,0),IF(A3589="COTAÇÃO",VLOOKUP(B3589,'Mapa Cotações'!$A:$N,3,0)))))),(IF(A3589="SINAPI",VLOOKUP(B3589,#REF!,3,0),IF(A3589="SUDECAP",VLOOKUP(B3589,#REF!,4,0),IF(A3589="SETOP",VLOOKUP(B3589,#REF!,3,0),IF(A3589="COTAÇÃO",VLOOKUP(B3589,'Mapa Cotações'!$A:$N,3,0))))))))</f>
        <v/>
      </c>
      <c r="E3589" s="88"/>
      <c r="F3589" s="89" t="str">
        <f>IF(B3589="","",IF($A$8="NÃO DESONERADO",(IF(A3589="SINAPI",VLOOKUP(B3589,#REF!,4,0),IF(A3589="SUDECAP",VLOOKUP(B3589,#REF!,5,0),IF(A3589="SETOP",VLOOKUP(B3589,#REF!,4,0),IF(A3589="COTAÇÃO",VLOOKUP(B3589,'Mapa Cotações'!$A:$N,13,0)))))),(IF(A3589="SINAPI",VLOOKUP(B3589,#REF!,4,0),IF(A3589="SUDECAP",VLOOKUP(B3589,#REF!,5,0),IF(A3589="SETOP",VLOOKUP(B3589,#REF!,4,0),IF(A3589="COTAÇÃO",VLOOKUP(B3589,'Mapa Cotações'!$A:$N,13,0))))))))</f>
        <v/>
      </c>
      <c r="G3589" s="89" t="str">
        <f>IF(D3589="","",E3589*F3589)</f>
        <v/>
      </c>
    </row>
    <row r="3590" spans="1:11">
      <c r="A3590" s="832" t="s">
        <v>1908</v>
      </c>
      <c r="B3590" s="833" t="s">
        <v>1908</v>
      </c>
      <c r="C3590" s="833"/>
      <c r="D3590" s="833"/>
      <c r="E3590" s="833"/>
      <c r="F3590" s="834"/>
      <c r="G3590" s="90" t="str">
        <f>IF(F3588="","",(SUM(G3588:G3589)))</f>
        <v/>
      </c>
    </row>
    <row r="3591" spans="1:11" ht="13.5" thickBot="1">
      <c r="A3591" s="91"/>
      <c r="B3591" s="92"/>
      <c r="C3591" s="163"/>
      <c r="D3591" s="99"/>
      <c r="E3591" s="100"/>
      <c r="F3591" s="101"/>
      <c r="G3591" s="102"/>
    </row>
    <row r="3592" spans="1:11" ht="13.5" thickBot="1">
      <c r="A3592" s="838" t="s">
        <v>1259</v>
      </c>
      <c r="B3592" s="839"/>
      <c r="C3592" s="839"/>
      <c r="D3592" s="839"/>
      <c r="E3592" s="839"/>
      <c r="F3592" s="840"/>
      <c r="G3592" s="103">
        <f>SUM(G3578,G3584,G3590)</f>
        <v>471.4983125</v>
      </c>
    </row>
    <row r="3595" spans="1:11">
      <c r="A3595" s="237" t="s">
        <v>131</v>
      </c>
      <c r="B3595" s="190" t="s">
        <v>27</v>
      </c>
      <c r="C3595" s="841" t="s">
        <v>1281</v>
      </c>
      <c r="D3595" s="841"/>
      <c r="E3595" s="841"/>
      <c r="F3595" s="841"/>
      <c r="G3595" s="81" t="s">
        <v>127</v>
      </c>
      <c r="I3595" s="480" t="s">
        <v>1901</v>
      </c>
      <c r="J3595" s="80"/>
      <c r="K3595" s="80"/>
    </row>
    <row r="3596" spans="1:11" ht="64.5" customHeight="1">
      <c r="A3596" s="179" t="s">
        <v>1062</v>
      </c>
      <c r="B3596" s="82"/>
      <c r="C3596" s="830" t="s">
        <v>1063</v>
      </c>
      <c r="D3596" s="831"/>
      <c r="E3596" s="831"/>
      <c r="F3596" s="186">
        <f>G3615</f>
        <v>350.26906250000002</v>
      </c>
      <c r="G3596" s="83" t="s">
        <v>167</v>
      </c>
      <c r="I3596" s="481"/>
      <c r="J3596" s="272"/>
      <c r="K3596" s="272"/>
    </row>
    <row r="3597" spans="1:11">
      <c r="A3597" s="818" t="s">
        <v>1902</v>
      </c>
      <c r="B3597" s="819"/>
      <c r="C3597" s="819"/>
      <c r="D3597" s="819"/>
      <c r="E3597" s="819"/>
      <c r="F3597" s="819"/>
      <c r="G3597" s="820"/>
    </row>
    <row r="3598" spans="1:11">
      <c r="A3598" s="84" t="s">
        <v>1903</v>
      </c>
      <c r="B3598" s="84" t="s">
        <v>131</v>
      </c>
      <c r="C3598" s="160" t="s">
        <v>1904</v>
      </c>
      <c r="D3598" s="84" t="s">
        <v>167</v>
      </c>
      <c r="E3598" s="85" t="s">
        <v>1905</v>
      </c>
      <c r="F3598" s="86" t="s">
        <v>1906</v>
      </c>
      <c r="G3598" s="86" t="s">
        <v>1907</v>
      </c>
    </row>
    <row r="3599" spans="1:11" ht="36">
      <c r="A3599" s="87" t="s">
        <v>1917</v>
      </c>
      <c r="B3599" s="187" t="s">
        <v>2113</v>
      </c>
      <c r="C3599" s="278" t="str">
        <f>IF(B3599="","",IF($A$8="NÃO DESONERADO",(IF(A3599="SINAPI",VLOOKUP(B3599,#REF!,2,0),IF(A3599="SUDECAP",VLOOKUP(B3599,#REF!,3,0),IF(A3599="SETOP",VLOOKUP(B3599,#REF!,2,0),IF(A3599="COTAÇÃO",VLOOKUP(B3599,'Mapa Cotações'!$A:$N,2,0)))))),(IF(A3599="SINAPI",VLOOKUP(B3599,#REF!,2,0),IF(A3599="SUDECAP",VLOOKUP(B3599,#REF!,3,0),IF(A3599="SETOP",VLOOKUP(B3599,#REF!,2,0),IF(A3599="COTAÇÃO",VLOOKUP(B3599,'Mapa Cotações'!$A:$N,2,0))))))))</f>
        <v>GRELHA EM ALUMÍNIO COM REGISTRO PARA RETORNO DE AR MODELO AR-AG, L=425, H=425, REF.: TROX OU EQUIVALENTE</v>
      </c>
      <c r="D3599" s="89" t="str">
        <f>IF(B3599="","",IF($A$8="NÃO DESONERADO",(IF(A3599="SINAPI",VLOOKUP(B3599,#REF!,3,0),IF(A3599="SUDECAP",VLOOKUP(B3599,#REF!,4,0),IF(A3599="SETOP",VLOOKUP(B3599,#REF!,3,0),IF(A3599="COTAÇÃO",VLOOKUP(B3599,'Mapa Cotações'!$A:$N,3,0)))))),(IF(A3599="SINAPI",VLOOKUP(B3599,#REF!,3,0),IF(A3599="SUDECAP",VLOOKUP(B3599,#REF!,4,0),IF(A3599="SETOP",VLOOKUP(B3599,#REF!,3,0),IF(A3599="COTAÇÃO",VLOOKUP(B3599,'Mapa Cotações'!$A:$N,3,0))))))))</f>
        <v>UN</v>
      </c>
      <c r="E3599" s="88">
        <v>1</v>
      </c>
      <c r="F3599" s="89">
        <f>'Mapa Cotações'!M132</f>
        <v>259.3605</v>
      </c>
      <c r="G3599" s="89">
        <f>IF(D3599="","",E3599*F3599)</f>
        <v>259.3605</v>
      </c>
    </row>
    <row r="3600" spans="1:11">
      <c r="A3600" s="87"/>
      <c r="B3600" s="87"/>
      <c r="C3600" s="278" t="str">
        <f>IF(B3600="","",IF($A$8="NÃO DESONERADO",(IF(A3600="SINAPI",VLOOKUP(B3600,#REF!,2,0),IF(A3600="SUDECAP",VLOOKUP(B3600,#REF!,3,0),IF(A3600="SETOP",VLOOKUP(B3600,#REF!,2,0),IF(A3600="COTAÇÃO",VLOOKUP(B3600,'Mapa Cotações'!$A:$N,2,0)))))),(IF(A3600="SINAPI",VLOOKUP(B3600,#REF!,2,0),IF(A3600="SUDECAP",VLOOKUP(B3600,#REF!,3,0),IF(A3600="SETOP",VLOOKUP(B3600,#REF!,2,0),IF(A3600="COTAÇÃO",VLOOKUP(B3600,'Mapa Cotações'!$A:$N,2,0))))))))</f>
        <v/>
      </c>
      <c r="D3600" s="89" t="str">
        <f>IF(B3600="","",IF($A$8="NÃO DESONERADO",(IF(A3600="SINAPI",VLOOKUP(B3600,#REF!,3,0),IF(A3600="SUDECAP",VLOOKUP(B3600,#REF!,4,0),IF(A3600="SETOP",VLOOKUP(B3600,#REF!,3,0),IF(A3600="COTAÇÃO",VLOOKUP(B3600,'Mapa Cotações'!$A:$N,3,0)))))),(IF(A3600="SINAPI",VLOOKUP(B3600,#REF!,3,0),IF(A3600="SUDECAP",VLOOKUP(B3600,#REF!,4,0),IF(A3600="SETOP",VLOOKUP(B3600,#REF!,3,0),IF(A3600="COTAÇÃO",VLOOKUP(B3600,'Mapa Cotações'!$A:$N,3,0))))))))</f>
        <v/>
      </c>
      <c r="E3600" s="88"/>
      <c r="F3600" s="89" t="str">
        <f>IF(B3600="","",IF($A$8="NÃO DESONERADO",(IF(A3600="SINAPI",VLOOKUP(B3600,#REF!,4,0),IF(A3600="SUDECAP",VLOOKUP(B3600,#REF!,5,0),IF(A3600="SETOP",VLOOKUP(B3600,#REF!,4,0),IF(A3600="COTAÇÃO",VLOOKUP(B3600,'Mapa Cotações'!$A:$N,13,0)))))),(IF(A3600="SINAPI",VLOOKUP(B3600,#REF!,4,0),IF(A3600="SUDECAP",VLOOKUP(B3600,#REF!,5,0),IF(A3600="SETOP",VLOOKUP(B3600,#REF!,4,0),IF(A3600="COTAÇÃO",VLOOKUP(B3600,'Mapa Cotações'!$A:$N,13,0))))))))</f>
        <v/>
      </c>
      <c r="G3600" s="89" t="str">
        <f>IF(D3600="","",E3600*F3600)</f>
        <v/>
      </c>
    </row>
    <row r="3601" spans="1:7">
      <c r="A3601" s="832" t="s">
        <v>1908</v>
      </c>
      <c r="B3601" s="833"/>
      <c r="C3601" s="833"/>
      <c r="D3601" s="833"/>
      <c r="E3601" s="833"/>
      <c r="F3601" s="834"/>
      <c r="G3601" s="90">
        <f>IF(F3599="","",(SUM(G3599:G3600)))</f>
        <v>259.3605</v>
      </c>
    </row>
    <row r="3602" spans="1:7">
      <c r="A3602" s="91"/>
      <c r="B3602" s="92"/>
      <c r="C3602" s="161"/>
      <c r="D3602" s="93"/>
      <c r="E3602" s="94"/>
      <c r="F3602" s="95"/>
      <c r="G3602" s="96"/>
    </row>
    <row r="3603" spans="1:7">
      <c r="A3603" s="835" t="s">
        <v>1909</v>
      </c>
      <c r="B3603" s="836"/>
      <c r="C3603" s="836"/>
      <c r="D3603" s="836"/>
      <c r="E3603" s="836"/>
      <c r="F3603" s="836"/>
      <c r="G3603" s="837"/>
    </row>
    <row r="3604" spans="1:7">
      <c r="A3604" s="84" t="s">
        <v>1903</v>
      </c>
      <c r="B3604" s="84" t="s">
        <v>131</v>
      </c>
      <c r="C3604" s="160" t="s">
        <v>1904</v>
      </c>
      <c r="D3604" s="84" t="s">
        <v>167</v>
      </c>
      <c r="E3604" s="85" t="s">
        <v>1905</v>
      </c>
      <c r="F3604" s="86" t="s">
        <v>1906</v>
      </c>
      <c r="G3604" s="86" t="s">
        <v>1907</v>
      </c>
    </row>
    <row r="3605" spans="1:7" ht="24">
      <c r="A3605" s="87" t="s">
        <v>2</v>
      </c>
      <c r="B3605" s="87">
        <v>88243</v>
      </c>
      <c r="C3605" s="278" t="s">
        <v>2100</v>
      </c>
      <c r="D3605" s="89" t="s">
        <v>137</v>
      </c>
      <c r="E3605" s="88">
        <f>10*(0.425*0.425)</f>
        <v>1.8062499999999999</v>
      </c>
      <c r="F3605" s="89">
        <v>24.36</v>
      </c>
      <c r="G3605" s="89">
        <f>IF(D3605="","",E3605*F3605)</f>
        <v>44.000249999999994</v>
      </c>
    </row>
    <row r="3606" spans="1:7" ht="24">
      <c r="A3606" s="87" t="s">
        <v>2</v>
      </c>
      <c r="B3606" s="87">
        <v>100308</v>
      </c>
      <c r="C3606" s="278" t="s">
        <v>1936</v>
      </c>
      <c r="D3606" s="89" t="s">
        <v>137</v>
      </c>
      <c r="E3606" s="88">
        <f>10*(0.425*0.425)</f>
        <v>1.8062499999999999</v>
      </c>
      <c r="F3606" s="89">
        <v>25.97</v>
      </c>
      <c r="G3606" s="89">
        <f>IF(D3606="","",E3606*F3606)</f>
        <v>46.908312499999994</v>
      </c>
    </row>
    <row r="3607" spans="1:7">
      <c r="A3607" s="832" t="s">
        <v>1908</v>
      </c>
      <c r="B3607" s="833"/>
      <c r="C3607" s="833"/>
      <c r="D3607" s="833"/>
      <c r="E3607" s="833"/>
      <c r="F3607" s="834"/>
      <c r="G3607" s="90">
        <f>IF(F3605="","",(SUM(G3605:G3606)))</f>
        <v>90.908562499999988</v>
      </c>
    </row>
    <row r="3608" spans="1:7">
      <c r="A3608" s="91"/>
      <c r="B3608" s="92"/>
      <c r="C3608" s="162"/>
      <c r="D3608" s="92"/>
      <c r="E3608" s="97"/>
      <c r="F3608" s="98"/>
      <c r="G3608" s="96"/>
    </row>
    <row r="3609" spans="1:7">
      <c r="A3609" s="835" t="s">
        <v>1912</v>
      </c>
      <c r="B3609" s="836"/>
      <c r="C3609" s="836"/>
      <c r="D3609" s="836"/>
      <c r="E3609" s="836"/>
      <c r="F3609" s="836"/>
      <c r="G3609" s="837"/>
    </row>
    <row r="3610" spans="1:7">
      <c r="A3610" s="84" t="s">
        <v>1903</v>
      </c>
      <c r="B3610" s="84" t="s">
        <v>131</v>
      </c>
      <c r="C3610" s="160" t="s">
        <v>1904</v>
      </c>
      <c r="D3610" s="84" t="s">
        <v>167</v>
      </c>
      <c r="E3610" s="85" t="s">
        <v>1905</v>
      </c>
      <c r="F3610" s="86" t="s">
        <v>1906</v>
      </c>
      <c r="G3610" s="86" t="s">
        <v>1907</v>
      </c>
    </row>
    <row r="3611" spans="1:7">
      <c r="A3611" s="87"/>
      <c r="B3611" s="87"/>
      <c r="C3611" s="278" t="str">
        <f>IF(B3611="","",IF($A$8="NÃO DESONERADO",(IF(A3611="SINAPI",VLOOKUP(B3611,#REF!,2,0),IF(A3611="SUDECAP",VLOOKUP(B3611,#REF!,3,0),IF(A3611="SETOP",VLOOKUP(B3611,#REF!,2,0),IF(A3611="COTAÇÃO",VLOOKUP(B3611,'Mapa Cotações'!$A:$N,2,0)))))),(IF(A3611="SINAPI",VLOOKUP(B3611,#REF!,2,0),IF(A3611="SUDECAP",VLOOKUP(B3611,#REF!,3,0),IF(A3611="SETOP",VLOOKUP(B3611,#REF!,2,0),IF(A3611="COTAÇÃO",VLOOKUP(B3611,'Mapa Cotações'!$A:$N,2,0))))))))</f>
        <v/>
      </c>
      <c r="D3611" s="89" t="str">
        <f>IF(B3611="","",IF($A$8="NÃO DESONERADO",(IF(A3611="SINAPI",VLOOKUP(B3611,#REF!,3,0),IF(A3611="SUDECAP",VLOOKUP(B3611,#REF!,4,0),IF(A3611="SETOP",VLOOKUP(B3611,#REF!,3,0),IF(A3611="COTAÇÃO",VLOOKUP(B3611,'Mapa Cotações'!$A:$N,3,0)))))),(IF(A3611="SINAPI",VLOOKUP(B3611,#REF!,3,0),IF(A3611="SUDECAP",VLOOKUP(B3611,#REF!,4,0),IF(A3611="SETOP",VLOOKUP(B3611,#REF!,3,0),IF(A3611="COTAÇÃO",VLOOKUP(B3611,'Mapa Cotações'!$A:$N,3,0))))))))</f>
        <v/>
      </c>
      <c r="E3611" s="88"/>
      <c r="F3611" s="89" t="str">
        <f>IF(B3611="","",IF($A$8="NÃO DESONERADO",(IF(A3611="SINAPI",VLOOKUP(B3611,#REF!,4,0),IF(A3611="SUDECAP",VLOOKUP(B3611,#REF!,5,0),IF(A3611="SETOP",VLOOKUP(B3611,#REF!,4,0),IF(A3611="COTAÇÃO",VLOOKUP(B3611,'Mapa Cotações'!$A:$N,13,0)))))),(IF(A3611="SINAPI",VLOOKUP(B3611,#REF!,4,0),IF(A3611="SUDECAP",VLOOKUP(B3611,#REF!,5,0),IF(A3611="SETOP",VLOOKUP(B3611,#REF!,4,0),IF(A3611="COTAÇÃO",VLOOKUP(B3611,'Mapa Cotações'!$A:$N,13,0))))))))</f>
        <v/>
      </c>
      <c r="G3611" s="89" t="str">
        <f>IF(D3611="","",E3611*F3611)</f>
        <v/>
      </c>
    </row>
    <row r="3612" spans="1:7">
      <c r="A3612" s="87"/>
      <c r="B3612" s="87"/>
      <c r="C3612" s="278" t="str">
        <f>IF(B3612="","",IF($A$8="NÃO DESONERADO",(IF(A3612="SINAPI",VLOOKUP(B3612,#REF!,2,0),IF(A3612="SUDECAP",VLOOKUP(B3612,#REF!,3,0),IF(A3612="SETOP",VLOOKUP(B3612,#REF!,2,0),IF(A3612="COTAÇÃO",VLOOKUP(B3612,'Mapa Cotações'!$A:$N,2,0)))))),(IF(A3612="SINAPI",VLOOKUP(B3612,#REF!,2,0),IF(A3612="SUDECAP",VLOOKUP(B3612,#REF!,3,0),IF(A3612="SETOP",VLOOKUP(B3612,#REF!,2,0),IF(A3612="COTAÇÃO",VLOOKUP(B3612,'Mapa Cotações'!$A:$N,2,0))))))))</f>
        <v/>
      </c>
      <c r="D3612" s="89" t="str">
        <f>IF(B3612="","",IF($A$8="NÃO DESONERADO",(IF(A3612="SINAPI",VLOOKUP(B3612,#REF!,3,0),IF(A3612="SUDECAP",VLOOKUP(B3612,#REF!,4,0),IF(A3612="SETOP",VLOOKUP(B3612,#REF!,3,0),IF(A3612="COTAÇÃO",VLOOKUP(B3612,'Mapa Cotações'!$A:$N,3,0)))))),(IF(A3612="SINAPI",VLOOKUP(B3612,#REF!,3,0),IF(A3612="SUDECAP",VLOOKUP(B3612,#REF!,4,0),IF(A3612="SETOP",VLOOKUP(B3612,#REF!,3,0),IF(A3612="COTAÇÃO",VLOOKUP(B3612,'Mapa Cotações'!$A:$N,3,0))))))))</f>
        <v/>
      </c>
      <c r="E3612" s="88"/>
      <c r="F3612" s="89" t="str">
        <f>IF(B3612="","",IF($A$8="NÃO DESONERADO",(IF(A3612="SINAPI",VLOOKUP(B3612,#REF!,4,0),IF(A3612="SUDECAP",VLOOKUP(B3612,#REF!,5,0),IF(A3612="SETOP",VLOOKUP(B3612,#REF!,4,0),IF(A3612="COTAÇÃO",VLOOKUP(B3612,'Mapa Cotações'!$A:$N,13,0)))))),(IF(A3612="SINAPI",VLOOKUP(B3612,#REF!,4,0),IF(A3612="SUDECAP",VLOOKUP(B3612,#REF!,5,0),IF(A3612="SETOP",VLOOKUP(B3612,#REF!,4,0),IF(A3612="COTAÇÃO",VLOOKUP(B3612,'Mapa Cotações'!$A:$N,13,0))))))))</f>
        <v/>
      </c>
      <c r="G3612" s="89" t="str">
        <f>IF(D3612="","",E3612*F3612)</f>
        <v/>
      </c>
    </row>
    <row r="3613" spans="1:7">
      <c r="A3613" s="832" t="s">
        <v>1908</v>
      </c>
      <c r="B3613" s="833" t="s">
        <v>1908</v>
      </c>
      <c r="C3613" s="833"/>
      <c r="D3613" s="833"/>
      <c r="E3613" s="833"/>
      <c r="F3613" s="834"/>
      <c r="G3613" s="90" t="str">
        <f>IF(F3611="","",(SUM(G3611:G3612)))</f>
        <v/>
      </c>
    </row>
    <row r="3614" spans="1:7" ht="13.5" thickBot="1">
      <c r="A3614" s="91"/>
      <c r="B3614" s="92"/>
      <c r="C3614" s="163"/>
      <c r="D3614" s="99"/>
      <c r="E3614" s="100"/>
      <c r="F3614" s="101"/>
      <c r="G3614" s="102"/>
    </row>
    <row r="3615" spans="1:7" ht="13.5" thickBot="1">
      <c r="A3615" s="838" t="s">
        <v>1259</v>
      </c>
      <c r="B3615" s="839"/>
      <c r="C3615" s="839"/>
      <c r="D3615" s="839"/>
      <c r="E3615" s="839"/>
      <c r="F3615" s="840"/>
      <c r="G3615" s="103">
        <f>SUM(G3601,G3607,G3613)</f>
        <v>350.26906250000002</v>
      </c>
    </row>
    <row r="3618" spans="1:11">
      <c r="A3618" s="237" t="s">
        <v>131</v>
      </c>
      <c r="B3618" s="190" t="s">
        <v>27</v>
      </c>
      <c r="C3618" s="841" t="s">
        <v>1281</v>
      </c>
      <c r="D3618" s="841"/>
      <c r="E3618" s="841"/>
      <c r="F3618" s="841"/>
      <c r="G3618" s="81" t="s">
        <v>127</v>
      </c>
      <c r="I3618" s="480" t="s">
        <v>1901</v>
      </c>
      <c r="J3618" s="80"/>
      <c r="K3618" s="80"/>
    </row>
    <row r="3619" spans="1:11" ht="64.5" customHeight="1">
      <c r="A3619" s="179" t="s">
        <v>1065</v>
      </c>
      <c r="B3619" s="82"/>
      <c r="C3619" s="830" t="s">
        <v>1066</v>
      </c>
      <c r="D3619" s="831"/>
      <c r="E3619" s="831"/>
      <c r="F3619" s="186">
        <f>G3638</f>
        <v>304.57906249999996</v>
      </c>
      <c r="G3619" s="83" t="s">
        <v>167</v>
      </c>
      <c r="I3619" s="481"/>
      <c r="J3619" s="272"/>
      <c r="K3619" s="272"/>
    </row>
    <row r="3620" spans="1:11">
      <c r="A3620" s="818" t="s">
        <v>1902</v>
      </c>
      <c r="B3620" s="819"/>
      <c r="C3620" s="819"/>
      <c r="D3620" s="819"/>
      <c r="E3620" s="819"/>
      <c r="F3620" s="819"/>
      <c r="G3620" s="820"/>
    </row>
    <row r="3621" spans="1:11">
      <c r="A3621" s="84" t="s">
        <v>1903</v>
      </c>
      <c r="B3621" s="84" t="s">
        <v>131</v>
      </c>
      <c r="C3621" s="160" t="s">
        <v>1904</v>
      </c>
      <c r="D3621" s="84" t="s">
        <v>167</v>
      </c>
      <c r="E3621" s="85" t="s">
        <v>1905</v>
      </c>
      <c r="F3621" s="86" t="s">
        <v>1906</v>
      </c>
      <c r="G3621" s="86" t="s">
        <v>1907</v>
      </c>
    </row>
    <row r="3622" spans="1:11" ht="36">
      <c r="A3622" s="87" t="s">
        <v>1917</v>
      </c>
      <c r="B3622" s="187" t="s">
        <v>2114</v>
      </c>
      <c r="C3622" s="278" t="str">
        <f>IF(B3622="","",IF($A$8="NÃO DESONERADO",(IF(A3622="SINAPI",VLOOKUP(B3622,#REF!,2,0),IF(A3622="SUDECAP",VLOOKUP(B3622,#REF!,3,0),IF(A3622="SETOP",VLOOKUP(B3622,#REF!,2,0),IF(A3622="COTAÇÃO",VLOOKUP(B3622,'Mapa Cotações'!$A:$N,2,0)))))),(IF(A3622="SINAPI",VLOOKUP(B3622,#REF!,2,0),IF(A3622="SUDECAP",VLOOKUP(B3622,#REF!,3,0),IF(A3622="SETOP",VLOOKUP(B3622,#REF!,2,0),IF(A3622="COTAÇÃO",VLOOKUP(B3622,'Mapa Cotações'!$A:$N,2,0))))))))</f>
        <v>GRELHA EM ALUMÍNIO COM REGISTRO PARA RETORNO DE AR MODELO AR-AG, L=625, H=225, REF.: TROX OU EQUIVALENTE</v>
      </c>
      <c r="D3622" s="89" t="str">
        <f>IF(B3622="","",IF($A$8="NÃO DESONERADO",(IF(A3622="SINAPI",VLOOKUP(B3622,#REF!,3,0),IF(A3622="SUDECAP",VLOOKUP(B3622,#REF!,4,0),IF(A3622="SETOP",VLOOKUP(B3622,#REF!,3,0),IF(A3622="COTAÇÃO",VLOOKUP(B3622,'Mapa Cotações'!$A:$N,3,0)))))),(IF(A3622="SINAPI",VLOOKUP(B3622,#REF!,3,0),IF(A3622="SUDECAP",VLOOKUP(B3622,#REF!,4,0),IF(A3622="SETOP",VLOOKUP(B3622,#REF!,3,0),IF(A3622="COTAÇÃO",VLOOKUP(B3622,'Mapa Cotações'!$A:$N,3,0))))))))</f>
        <v>UN</v>
      </c>
      <c r="E3622" s="88">
        <v>1</v>
      </c>
      <c r="F3622" s="89">
        <f>IF(B3622="","",IF($A$8="NÃO DESONERADO",(IF(A3622="SINAPI",VLOOKUP(B3622,#REF!,4,0),IF(A3622="SUDECAP",VLOOKUP(B3622,#REF!,5,0),IF(A3622="SETOP",VLOOKUP(B3622,#REF!,4,0),IF(A3622="COTAÇÃO",VLOOKUP(B3622,'Mapa Cotações'!$A:$N,13,0)))))),(IF(A3622="SINAPI",VLOOKUP(B3622,#REF!,4,0),IF(A3622="SUDECAP",VLOOKUP(B3622,#REF!,5,0),IF(A3622="SETOP",VLOOKUP(B3622,#REF!,4,0),IF(A3622="COTAÇÃO",VLOOKUP(B3622,'Mapa Cotações'!$A:$N,13,0))))))))</f>
        <v>170.89</v>
      </c>
      <c r="G3622" s="89">
        <f>IF(D3622="","",E3622*F3622)</f>
        <v>170.89</v>
      </c>
    </row>
    <row r="3623" spans="1:11">
      <c r="A3623" s="87"/>
      <c r="B3623" s="87"/>
      <c r="C3623" s="278" t="str">
        <f>IF(B3623="","",IF($A$8="NÃO DESONERADO",(IF(A3623="SINAPI",VLOOKUP(B3623,#REF!,2,0),IF(A3623="SUDECAP",VLOOKUP(B3623,#REF!,3,0),IF(A3623="SETOP",VLOOKUP(B3623,#REF!,2,0),IF(A3623="COTAÇÃO",VLOOKUP(B3623,'Mapa Cotações'!$A:$N,2,0)))))),(IF(A3623="SINAPI",VLOOKUP(B3623,#REF!,2,0),IF(A3623="SUDECAP",VLOOKUP(B3623,#REF!,3,0),IF(A3623="SETOP",VLOOKUP(B3623,#REF!,2,0),IF(A3623="COTAÇÃO",VLOOKUP(B3623,'Mapa Cotações'!$A:$N,2,0))))))))</f>
        <v/>
      </c>
      <c r="D3623" s="89" t="str">
        <f>IF(B3623="","",IF($A$8="NÃO DESONERADO",(IF(A3623="SINAPI",VLOOKUP(B3623,#REF!,3,0),IF(A3623="SUDECAP",VLOOKUP(B3623,#REF!,4,0),IF(A3623="SETOP",VLOOKUP(B3623,#REF!,3,0),IF(A3623="COTAÇÃO",VLOOKUP(B3623,'Mapa Cotações'!$A:$N,3,0)))))),(IF(A3623="SINAPI",VLOOKUP(B3623,#REF!,3,0),IF(A3623="SUDECAP",VLOOKUP(B3623,#REF!,4,0),IF(A3623="SETOP",VLOOKUP(B3623,#REF!,3,0),IF(A3623="COTAÇÃO",VLOOKUP(B3623,'Mapa Cotações'!$A:$N,3,0))))))))</f>
        <v/>
      </c>
      <c r="E3623" s="88"/>
      <c r="F3623" s="89" t="str">
        <f>IF(B3623="","",IF($A$8="NÃO DESONERADO",(IF(A3623="SINAPI",VLOOKUP(B3623,#REF!,4,0),IF(A3623="SUDECAP",VLOOKUP(B3623,#REF!,5,0),IF(A3623="SETOP",VLOOKUP(B3623,#REF!,4,0),IF(A3623="COTAÇÃO",VLOOKUP(B3623,'Mapa Cotações'!$A:$N,13,0)))))),(IF(A3623="SINAPI",VLOOKUP(B3623,#REF!,4,0),IF(A3623="SUDECAP",VLOOKUP(B3623,#REF!,5,0),IF(A3623="SETOP",VLOOKUP(B3623,#REF!,4,0),IF(A3623="COTAÇÃO",VLOOKUP(B3623,'Mapa Cotações'!$A:$N,13,0))))))))</f>
        <v/>
      </c>
      <c r="G3623" s="89" t="str">
        <f>IF(D3623="","",E3623*F3623)</f>
        <v/>
      </c>
    </row>
    <row r="3624" spans="1:11">
      <c r="A3624" s="832" t="s">
        <v>1908</v>
      </c>
      <c r="B3624" s="833"/>
      <c r="C3624" s="833"/>
      <c r="D3624" s="833"/>
      <c r="E3624" s="833"/>
      <c r="F3624" s="834"/>
      <c r="G3624" s="90">
        <f>IF(F3622="","",(SUM(G3622:G3623)))</f>
        <v>170.89</v>
      </c>
    </row>
    <row r="3625" spans="1:11">
      <c r="A3625" s="91"/>
      <c r="B3625" s="92"/>
      <c r="C3625" s="161"/>
      <c r="D3625" s="93"/>
      <c r="E3625" s="94"/>
      <c r="F3625" s="95"/>
      <c r="G3625" s="96"/>
    </row>
    <row r="3626" spans="1:11">
      <c r="A3626" s="835" t="s">
        <v>1909</v>
      </c>
      <c r="B3626" s="836"/>
      <c r="C3626" s="836"/>
      <c r="D3626" s="836"/>
      <c r="E3626" s="836"/>
      <c r="F3626" s="836"/>
      <c r="G3626" s="837"/>
    </row>
    <row r="3627" spans="1:11">
      <c r="A3627" s="84" t="s">
        <v>1903</v>
      </c>
      <c r="B3627" s="84" t="s">
        <v>131</v>
      </c>
      <c r="C3627" s="160" t="s">
        <v>1904</v>
      </c>
      <c r="D3627" s="84" t="s">
        <v>167</v>
      </c>
      <c r="E3627" s="85" t="s">
        <v>1905</v>
      </c>
      <c r="F3627" s="86" t="s">
        <v>1906</v>
      </c>
      <c r="G3627" s="86" t="s">
        <v>1907</v>
      </c>
    </row>
    <row r="3628" spans="1:11" ht="24">
      <c r="A3628" s="87" t="s">
        <v>2</v>
      </c>
      <c r="B3628" s="87">
        <v>88243</v>
      </c>
      <c r="C3628" s="278" t="s">
        <v>2100</v>
      </c>
      <c r="D3628" s="89" t="s">
        <v>137</v>
      </c>
      <c r="E3628" s="88">
        <f>10*(0.625*0.425)</f>
        <v>2.65625</v>
      </c>
      <c r="F3628" s="89">
        <v>24.36</v>
      </c>
      <c r="G3628" s="89">
        <f>IF(D3628="","",E3628*F3628)</f>
        <v>64.706249999999997</v>
      </c>
    </row>
    <row r="3629" spans="1:11" ht="24">
      <c r="A3629" s="87" t="s">
        <v>2</v>
      </c>
      <c r="B3629" s="87">
        <v>100308</v>
      </c>
      <c r="C3629" s="278" t="s">
        <v>1936</v>
      </c>
      <c r="D3629" s="89" t="s">
        <v>137</v>
      </c>
      <c r="E3629" s="88">
        <f>10*(0.625*0.425)</f>
        <v>2.65625</v>
      </c>
      <c r="F3629" s="89">
        <v>25.97</v>
      </c>
      <c r="G3629" s="89">
        <f>IF(D3629="","",E3629*F3629)</f>
        <v>68.982812499999994</v>
      </c>
    </row>
    <row r="3630" spans="1:11">
      <c r="A3630" s="832" t="s">
        <v>1908</v>
      </c>
      <c r="B3630" s="833"/>
      <c r="C3630" s="833"/>
      <c r="D3630" s="833"/>
      <c r="E3630" s="833"/>
      <c r="F3630" s="834"/>
      <c r="G3630" s="90">
        <f>IF(F3628="","",(SUM(G3628:G3629)))</f>
        <v>133.68906249999998</v>
      </c>
    </row>
    <row r="3631" spans="1:11">
      <c r="A3631" s="91"/>
      <c r="B3631" s="92"/>
      <c r="C3631" s="162"/>
      <c r="D3631" s="92"/>
      <c r="E3631" s="97"/>
      <c r="F3631" s="98"/>
      <c r="G3631" s="96"/>
    </row>
    <row r="3632" spans="1:11">
      <c r="A3632" s="835" t="s">
        <v>1912</v>
      </c>
      <c r="B3632" s="836"/>
      <c r="C3632" s="836"/>
      <c r="D3632" s="836"/>
      <c r="E3632" s="836"/>
      <c r="F3632" s="836"/>
      <c r="G3632" s="837"/>
    </row>
    <row r="3633" spans="1:11">
      <c r="A3633" s="84" t="s">
        <v>1903</v>
      </c>
      <c r="B3633" s="84" t="s">
        <v>131</v>
      </c>
      <c r="C3633" s="160" t="s">
        <v>1904</v>
      </c>
      <c r="D3633" s="84" t="s">
        <v>167</v>
      </c>
      <c r="E3633" s="85" t="s">
        <v>1905</v>
      </c>
      <c r="F3633" s="86" t="s">
        <v>1906</v>
      </c>
      <c r="G3633" s="86" t="s">
        <v>1907</v>
      </c>
    </row>
    <row r="3634" spans="1:11">
      <c r="A3634" s="87"/>
      <c r="B3634" s="87"/>
      <c r="C3634" s="278" t="str">
        <f>IF(B3634="","",IF($A$8="NÃO DESONERADO",(IF(A3634="SINAPI",VLOOKUP(B3634,#REF!,2,0),IF(A3634="SUDECAP",VLOOKUP(B3634,#REF!,3,0),IF(A3634="SETOP",VLOOKUP(B3634,#REF!,2,0),IF(A3634="COTAÇÃO",VLOOKUP(B3634,'Mapa Cotações'!$A:$N,2,0)))))),(IF(A3634="SINAPI",VLOOKUP(B3634,#REF!,2,0),IF(A3634="SUDECAP",VLOOKUP(B3634,#REF!,3,0),IF(A3634="SETOP",VLOOKUP(B3634,#REF!,2,0),IF(A3634="COTAÇÃO",VLOOKUP(B3634,'Mapa Cotações'!$A:$N,2,0))))))))</f>
        <v/>
      </c>
      <c r="D3634" s="89" t="str">
        <f>IF(B3634="","",IF($A$8="NÃO DESONERADO",(IF(A3634="SINAPI",VLOOKUP(B3634,#REF!,3,0),IF(A3634="SUDECAP",VLOOKUP(B3634,#REF!,4,0),IF(A3634="SETOP",VLOOKUP(B3634,#REF!,3,0),IF(A3634="COTAÇÃO",VLOOKUP(B3634,'Mapa Cotações'!$A:$N,3,0)))))),(IF(A3634="SINAPI",VLOOKUP(B3634,#REF!,3,0),IF(A3634="SUDECAP",VLOOKUP(B3634,#REF!,4,0),IF(A3634="SETOP",VLOOKUP(B3634,#REF!,3,0),IF(A3634="COTAÇÃO",VLOOKUP(B3634,'Mapa Cotações'!$A:$N,3,0))))))))</f>
        <v/>
      </c>
      <c r="E3634" s="88"/>
      <c r="F3634" s="89" t="str">
        <f>IF(B3634="","",IF($A$8="NÃO DESONERADO",(IF(A3634="SINAPI",VLOOKUP(B3634,#REF!,4,0),IF(A3634="SUDECAP",VLOOKUP(B3634,#REF!,5,0),IF(A3634="SETOP",VLOOKUP(B3634,#REF!,4,0),IF(A3634="COTAÇÃO",VLOOKUP(B3634,'Mapa Cotações'!$A:$N,13,0)))))),(IF(A3634="SINAPI",VLOOKUP(B3634,#REF!,4,0),IF(A3634="SUDECAP",VLOOKUP(B3634,#REF!,5,0),IF(A3634="SETOP",VLOOKUP(B3634,#REF!,4,0),IF(A3634="COTAÇÃO",VLOOKUP(B3634,'Mapa Cotações'!$A:$N,13,0))))))))</f>
        <v/>
      </c>
      <c r="G3634" s="89" t="str">
        <f>IF(D3634="","",E3634*F3634)</f>
        <v/>
      </c>
    </row>
    <row r="3635" spans="1:11">
      <c r="A3635" s="87"/>
      <c r="B3635" s="87"/>
      <c r="C3635" s="278" t="str">
        <f>IF(B3635="","",IF($A$8="NÃO DESONERADO",(IF(A3635="SINAPI",VLOOKUP(B3635,#REF!,2,0),IF(A3635="SUDECAP",VLOOKUP(B3635,#REF!,3,0),IF(A3635="SETOP",VLOOKUP(B3635,#REF!,2,0),IF(A3635="COTAÇÃO",VLOOKUP(B3635,'Mapa Cotações'!$A:$N,2,0)))))),(IF(A3635="SINAPI",VLOOKUP(B3635,#REF!,2,0),IF(A3635="SUDECAP",VLOOKUP(B3635,#REF!,3,0),IF(A3635="SETOP",VLOOKUP(B3635,#REF!,2,0),IF(A3635="COTAÇÃO",VLOOKUP(B3635,'Mapa Cotações'!$A:$N,2,0))))))))</f>
        <v/>
      </c>
      <c r="D3635" s="89" t="str">
        <f>IF(B3635="","",IF($A$8="NÃO DESONERADO",(IF(A3635="SINAPI",VLOOKUP(B3635,#REF!,3,0),IF(A3635="SUDECAP",VLOOKUP(B3635,#REF!,4,0),IF(A3635="SETOP",VLOOKUP(B3635,#REF!,3,0),IF(A3635="COTAÇÃO",VLOOKUP(B3635,'Mapa Cotações'!$A:$N,3,0)))))),(IF(A3635="SINAPI",VLOOKUP(B3635,#REF!,3,0),IF(A3635="SUDECAP",VLOOKUP(B3635,#REF!,4,0),IF(A3635="SETOP",VLOOKUP(B3635,#REF!,3,0),IF(A3635="COTAÇÃO",VLOOKUP(B3635,'Mapa Cotações'!$A:$N,3,0))))))))</f>
        <v/>
      </c>
      <c r="E3635" s="88"/>
      <c r="F3635" s="89" t="str">
        <f>IF(B3635="","",IF($A$8="NÃO DESONERADO",(IF(A3635="SINAPI",VLOOKUP(B3635,#REF!,4,0),IF(A3635="SUDECAP",VLOOKUP(B3635,#REF!,5,0),IF(A3635="SETOP",VLOOKUP(B3635,#REF!,4,0),IF(A3635="COTAÇÃO",VLOOKUP(B3635,'Mapa Cotações'!$A:$N,13,0)))))),(IF(A3635="SINAPI",VLOOKUP(B3635,#REF!,4,0),IF(A3635="SUDECAP",VLOOKUP(B3635,#REF!,5,0),IF(A3635="SETOP",VLOOKUP(B3635,#REF!,4,0),IF(A3635="COTAÇÃO",VLOOKUP(B3635,'Mapa Cotações'!$A:$N,13,0))))))))</f>
        <v/>
      </c>
      <c r="G3635" s="89" t="str">
        <f>IF(D3635="","",E3635*F3635)</f>
        <v/>
      </c>
    </row>
    <row r="3636" spans="1:11">
      <c r="A3636" s="832" t="s">
        <v>1908</v>
      </c>
      <c r="B3636" s="833" t="s">
        <v>1908</v>
      </c>
      <c r="C3636" s="833"/>
      <c r="D3636" s="833"/>
      <c r="E3636" s="833"/>
      <c r="F3636" s="834"/>
      <c r="G3636" s="90" t="str">
        <f>IF(F3634="","",(SUM(G3634:G3635)))</f>
        <v/>
      </c>
    </row>
    <row r="3637" spans="1:11" ht="13.5" thickBot="1">
      <c r="A3637" s="91"/>
      <c r="B3637" s="92"/>
      <c r="C3637" s="163"/>
      <c r="D3637" s="99"/>
      <c r="E3637" s="100"/>
      <c r="F3637" s="101"/>
      <c r="G3637" s="102"/>
    </row>
    <row r="3638" spans="1:11" ht="13.5" thickBot="1">
      <c r="A3638" s="838" t="s">
        <v>1259</v>
      </c>
      <c r="B3638" s="839"/>
      <c r="C3638" s="839"/>
      <c r="D3638" s="839"/>
      <c r="E3638" s="839"/>
      <c r="F3638" s="840"/>
      <c r="G3638" s="103">
        <f>SUM(G3624,G3630,G3636)</f>
        <v>304.57906249999996</v>
      </c>
    </row>
    <row r="3641" spans="1:11">
      <c r="A3641" s="237" t="s">
        <v>131</v>
      </c>
      <c r="B3641" s="190" t="s">
        <v>27</v>
      </c>
      <c r="C3641" s="841" t="s">
        <v>1281</v>
      </c>
      <c r="D3641" s="841"/>
      <c r="E3641" s="841"/>
      <c r="F3641" s="841"/>
      <c r="G3641" s="81" t="s">
        <v>127</v>
      </c>
      <c r="I3641" s="480" t="s">
        <v>1901</v>
      </c>
      <c r="J3641" s="80"/>
      <c r="K3641" s="80"/>
    </row>
    <row r="3642" spans="1:11" ht="64.5" customHeight="1">
      <c r="A3642" s="179" t="s">
        <v>1070</v>
      </c>
      <c r="B3642" s="82"/>
      <c r="C3642" s="830" t="s">
        <v>1071</v>
      </c>
      <c r="D3642" s="831"/>
      <c r="E3642" s="831"/>
      <c r="F3642" s="186">
        <f>G3663</f>
        <v>434.78821312499997</v>
      </c>
      <c r="G3642" s="83" t="s">
        <v>167</v>
      </c>
      <c r="I3642" s="481"/>
      <c r="J3642" s="272"/>
      <c r="K3642" s="272"/>
    </row>
    <row r="3643" spans="1:11">
      <c r="A3643" s="818" t="s">
        <v>1902</v>
      </c>
      <c r="B3643" s="819"/>
      <c r="C3643" s="819"/>
      <c r="D3643" s="819"/>
      <c r="E3643" s="819"/>
      <c r="F3643" s="819"/>
      <c r="G3643" s="820"/>
    </row>
    <row r="3644" spans="1:11">
      <c r="A3644" s="84" t="s">
        <v>1903</v>
      </c>
      <c r="B3644" s="84" t="s">
        <v>131</v>
      </c>
      <c r="C3644" s="160" t="s">
        <v>1904</v>
      </c>
      <c r="D3644" s="84" t="s">
        <v>167</v>
      </c>
      <c r="E3644" s="85" t="s">
        <v>1905</v>
      </c>
      <c r="F3644" s="86" t="s">
        <v>1906</v>
      </c>
      <c r="G3644" s="86" t="s">
        <v>1907</v>
      </c>
    </row>
    <row r="3645" spans="1:11" ht="36">
      <c r="A3645" s="87" t="s">
        <v>1917</v>
      </c>
      <c r="B3645" s="187" t="s">
        <v>2115</v>
      </c>
      <c r="C3645" s="278" t="str">
        <f>IF(B3645="","",IF($A$8="NÃO DESONERADO",(IF(A3645="SINAPI",VLOOKUP(B3645,#REF!,2,0),IF(A3645="SUDECAP",VLOOKUP(B3645,#REF!,3,0),IF(A3645="SETOP",VLOOKUP(B3645,#REF!,2,0),IF(A3645="COTAÇÃO",VLOOKUP(B3645,'Mapa Cotações'!$A:$N,2,0)))))),(IF(A3645="SINAPI",VLOOKUP(B3645,#REF!,2,0),IF(A3645="SUDECAP",VLOOKUP(B3645,#REF!,3,0),IF(A3645="SETOP",VLOOKUP(B3645,#REF!,2,0),IF(A3645="COTAÇÃO",VLOOKUP(B3645,'Mapa Cotações'!$A:$N,2,0))))))))</f>
        <v>GRELHA EM ALUMÍNIO PARA PORTA, COM CONTRA MOLDURA,  MODELO AGS-T, L=425, H=225. REF.: TROX OU EQUIVALENTE</v>
      </c>
      <c r="D3645" s="89" t="str">
        <f>IF(B3645="","",IF($A$8="NÃO DESONERADO",(IF(A3645="SINAPI",VLOOKUP(B3645,#REF!,3,0),IF(A3645="SUDECAP",VLOOKUP(B3645,#REF!,4,0),IF(A3645="SETOP",VLOOKUP(B3645,#REF!,3,0),IF(A3645="COTAÇÃO",VLOOKUP(B3645,'Mapa Cotações'!$A:$N,3,0)))))),(IF(A3645="SINAPI",VLOOKUP(B3645,#REF!,3,0),IF(A3645="SUDECAP",VLOOKUP(B3645,#REF!,4,0),IF(A3645="SETOP",VLOOKUP(B3645,#REF!,3,0),IF(A3645="COTAÇÃO",VLOOKUP(B3645,'Mapa Cotações'!$A:$N,3,0))))))))</f>
        <v>UN</v>
      </c>
      <c r="E3645" s="88">
        <v>1</v>
      </c>
      <c r="F3645" s="89">
        <f>IF(B3645="","",IF($A$8="NÃO DESONERADO",(IF(A3645="SINAPI",VLOOKUP(B3645,#REF!,4,0),IF(A3645="SUDECAP",VLOOKUP(B3645,#REF!,5,0),IF(A3645="SETOP",VLOOKUP(B3645,#REF!,4,0),IF(A3645="COTAÇÃO",VLOOKUP(B3645,'Mapa Cotações'!$A:$N,13,0)))))),(IF(A3645="SINAPI",VLOOKUP(B3645,#REF!,4,0),IF(A3645="SUDECAP",VLOOKUP(B3645,#REF!,5,0),IF(A3645="SETOP",VLOOKUP(B3645,#REF!,4,0),IF(A3645="COTAÇÃO",VLOOKUP(B3645,'Mapa Cotações'!$A:$N,13,0))))))))</f>
        <v>336.76650000000001</v>
      </c>
      <c r="G3645" s="89">
        <f>IF(D3645="","",E3645*F3645)</f>
        <v>336.76650000000001</v>
      </c>
    </row>
    <row r="3646" spans="1:11">
      <c r="A3646" s="87"/>
      <c r="B3646" s="87"/>
      <c r="C3646" s="278" t="str">
        <f>IF(B3646="","",IF($A$8="NÃO DESONERADO",(IF(A3646="SINAPI",VLOOKUP(B3646,#REF!,2,0),IF(A3646="SUDECAP",VLOOKUP(B3646,#REF!,3,0),IF(A3646="SETOP",VLOOKUP(B3646,#REF!,2,0),IF(A3646="COTAÇÃO",VLOOKUP(B3646,'Mapa Cotações'!$A:$N,2,0)))))),(IF(A3646="SINAPI",VLOOKUP(B3646,#REF!,2,0),IF(A3646="SUDECAP",VLOOKUP(B3646,#REF!,3,0),IF(A3646="SETOP",VLOOKUP(B3646,#REF!,2,0),IF(A3646="COTAÇÃO",VLOOKUP(B3646,'Mapa Cotações'!$A:$N,2,0))))))))</f>
        <v/>
      </c>
      <c r="D3646" s="89" t="str">
        <f>IF(B3646="","",IF($A$8="NÃO DESONERADO",(IF(A3646="SINAPI",VLOOKUP(B3646,#REF!,3,0),IF(A3646="SUDECAP",VLOOKUP(B3646,#REF!,4,0),IF(A3646="SETOP",VLOOKUP(B3646,#REF!,3,0),IF(A3646="COTAÇÃO",VLOOKUP(B3646,'Mapa Cotações'!$A:$N,3,0)))))),(IF(A3646="SINAPI",VLOOKUP(B3646,#REF!,3,0),IF(A3646="SUDECAP",VLOOKUP(B3646,#REF!,4,0),IF(A3646="SETOP",VLOOKUP(B3646,#REF!,3,0),IF(A3646="COTAÇÃO",VLOOKUP(B3646,'Mapa Cotações'!$A:$N,3,0))))))))</f>
        <v/>
      </c>
      <c r="E3646" s="88"/>
      <c r="F3646" s="89" t="str">
        <f>IF(B3646="","",IF($A$8="NÃO DESONERADO",(IF(A3646="SINAPI",VLOOKUP(B3646,#REF!,4,0),IF(A3646="SUDECAP",VLOOKUP(B3646,#REF!,5,0),IF(A3646="SETOP",VLOOKUP(B3646,#REF!,4,0),IF(A3646="COTAÇÃO",VLOOKUP(B3646,'Mapa Cotações'!$A:$N,13,0)))))),(IF(A3646="SINAPI",VLOOKUP(B3646,#REF!,4,0),IF(A3646="SUDECAP",VLOOKUP(B3646,#REF!,5,0),IF(A3646="SETOP",VLOOKUP(B3646,#REF!,4,0),IF(A3646="COTAÇÃO",VLOOKUP(B3646,'Mapa Cotações'!$A:$N,13,0))))))))</f>
        <v/>
      </c>
      <c r="G3646" s="89" t="str">
        <f>IF(D3646="","",E3646*F3646)</f>
        <v/>
      </c>
    </row>
    <row r="3647" spans="1:11">
      <c r="A3647" s="832" t="s">
        <v>1908</v>
      </c>
      <c r="B3647" s="833"/>
      <c r="C3647" s="833"/>
      <c r="D3647" s="833"/>
      <c r="E3647" s="833"/>
      <c r="F3647" s="834"/>
      <c r="G3647" s="90">
        <f>IF(F3645="","",(SUM(G3645:G3646)))</f>
        <v>336.76650000000001</v>
      </c>
    </row>
    <row r="3648" spans="1:11">
      <c r="A3648" s="91"/>
      <c r="B3648" s="92"/>
      <c r="C3648" s="161"/>
      <c r="D3648" s="93"/>
      <c r="E3648" s="94"/>
      <c r="F3648" s="95"/>
      <c r="G3648" s="96"/>
    </row>
    <row r="3649" spans="1:7">
      <c r="A3649" s="835" t="s">
        <v>1909</v>
      </c>
      <c r="B3649" s="836"/>
      <c r="C3649" s="836"/>
      <c r="D3649" s="836"/>
      <c r="E3649" s="836"/>
      <c r="F3649" s="836"/>
      <c r="G3649" s="837"/>
    </row>
    <row r="3650" spans="1:7">
      <c r="A3650" s="84" t="s">
        <v>1903</v>
      </c>
      <c r="B3650" s="84" t="s">
        <v>131</v>
      </c>
      <c r="C3650" s="160" t="s">
        <v>1904</v>
      </c>
      <c r="D3650" s="84" t="s">
        <v>167</v>
      </c>
      <c r="E3650" s="85" t="s">
        <v>1905</v>
      </c>
      <c r="F3650" s="86" t="s">
        <v>1906</v>
      </c>
      <c r="G3650" s="86" t="s">
        <v>1907</v>
      </c>
    </row>
    <row r="3651" spans="1:7" ht="24">
      <c r="A3651" s="87" t="s">
        <v>2</v>
      </c>
      <c r="B3651" s="87">
        <v>88243</v>
      </c>
      <c r="C3651" s="278" t="s">
        <v>2100</v>
      </c>
      <c r="D3651" s="89" t="s">
        <v>137</v>
      </c>
      <c r="E3651" s="88">
        <f>10*(0.425*0.225)</f>
        <v>0.95625000000000004</v>
      </c>
      <c r="F3651" s="89">
        <v>24.36</v>
      </c>
      <c r="G3651" s="89">
        <f>IF(D3651="","",E3651*F3651)</f>
        <v>23.294250000000002</v>
      </c>
    </row>
    <row r="3652" spans="1:7" ht="24">
      <c r="A3652" s="87" t="s">
        <v>2</v>
      </c>
      <c r="B3652" s="87">
        <v>100308</v>
      </c>
      <c r="C3652" s="278" t="s">
        <v>1936</v>
      </c>
      <c r="D3652" s="89" t="s">
        <v>137</v>
      </c>
      <c r="E3652" s="88">
        <f>10*(0.425*0.225)</f>
        <v>0.95625000000000004</v>
      </c>
      <c r="F3652" s="89">
        <v>25.97</v>
      </c>
      <c r="G3652" s="89">
        <f>IF(D3652="","",E3652*F3652)</f>
        <v>24.833812500000001</v>
      </c>
    </row>
    <row r="3653" spans="1:7" ht="24">
      <c r="A3653" s="87" t="s">
        <v>2</v>
      </c>
      <c r="B3653" s="87">
        <v>88261</v>
      </c>
      <c r="C3653" s="278" t="s">
        <v>2116</v>
      </c>
      <c r="D3653" s="89" t="s">
        <v>137</v>
      </c>
      <c r="E3653" s="88">
        <f>1.002*10*(0.425*0.325)</f>
        <v>1.3840124999999999</v>
      </c>
      <c r="F3653" s="89">
        <v>26.99</v>
      </c>
      <c r="G3653" s="89">
        <f t="shared" ref="G3653" si="56">IF(D3653="","",E3653*F3653)</f>
        <v>37.354497374999994</v>
      </c>
    </row>
    <row r="3654" spans="1:7">
      <c r="A3654" s="87" t="s">
        <v>2</v>
      </c>
      <c r="B3654" s="87">
        <v>88316</v>
      </c>
      <c r="C3654" s="278" t="s">
        <v>1922</v>
      </c>
      <c r="D3654" s="89" t="s">
        <v>137</v>
      </c>
      <c r="E3654" s="88">
        <f>0.501*10*(0.425*0.325)</f>
        <v>0.69200624999999993</v>
      </c>
      <c r="F3654" s="89">
        <v>18.12</v>
      </c>
      <c r="G3654" s="89">
        <f>IF(D3654="","",E3654*F3654)</f>
        <v>12.53915325</v>
      </c>
    </row>
    <row r="3655" spans="1:7">
      <c r="A3655" s="832" t="s">
        <v>1908</v>
      </c>
      <c r="B3655" s="833"/>
      <c r="C3655" s="833"/>
      <c r="D3655" s="833"/>
      <c r="E3655" s="833"/>
      <c r="F3655" s="834"/>
      <c r="G3655" s="90">
        <f>IF(F3651="","",(SUM(G3651:G3654)))</f>
        <v>98.021713124999991</v>
      </c>
    </row>
    <row r="3656" spans="1:7">
      <c r="A3656" s="91"/>
      <c r="B3656" s="92"/>
      <c r="C3656" s="162"/>
      <c r="D3656" s="92"/>
      <c r="E3656" s="97"/>
      <c r="F3656" s="98"/>
      <c r="G3656" s="96"/>
    </row>
    <row r="3657" spans="1:7">
      <c r="A3657" s="835" t="s">
        <v>1912</v>
      </c>
      <c r="B3657" s="836"/>
      <c r="C3657" s="836"/>
      <c r="D3657" s="836"/>
      <c r="E3657" s="836"/>
      <c r="F3657" s="836"/>
      <c r="G3657" s="837"/>
    </row>
    <row r="3658" spans="1:7">
      <c r="A3658" s="84" t="s">
        <v>1903</v>
      </c>
      <c r="B3658" s="84" t="s">
        <v>131</v>
      </c>
      <c r="C3658" s="160" t="s">
        <v>1904</v>
      </c>
      <c r="D3658" s="84" t="s">
        <v>167</v>
      </c>
      <c r="E3658" s="85" t="s">
        <v>1905</v>
      </c>
      <c r="F3658" s="86" t="s">
        <v>1906</v>
      </c>
      <c r="G3658" s="86" t="s">
        <v>1907</v>
      </c>
    </row>
    <row r="3659" spans="1:7">
      <c r="A3659" s="87"/>
      <c r="B3659" s="87"/>
      <c r="C3659" s="278" t="str">
        <f>IF(B3659="","",IF($A$8="NÃO DESONERADO",(IF(A3659="SINAPI",VLOOKUP(B3659,#REF!,2,0),IF(A3659="SUDECAP",VLOOKUP(B3659,#REF!,3,0),IF(A3659="SETOP",VLOOKUP(B3659,#REF!,2,0),IF(A3659="COTAÇÃO",VLOOKUP(B3659,'Mapa Cotações'!$A:$N,2,0)))))),(IF(A3659="SINAPI",VLOOKUP(B3659,#REF!,2,0),IF(A3659="SUDECAP",VLOOKUP(B3659,#REF!,3,0),IF(A3659="SETOP",VLOOKUP(B3659,#REF!,2,0),IF(A3659="COTAÇÃO",VLOOKUP(B3659,'Mapa Cotações'!$A:$N,2,0))))))))</f>
        <v/>
      </c>
      <c r="D3659" s="89" t="str">
        <f>IF(B3659="","",IF($A$8="NÃO DESONERADO",(IF(A3659="SINAPI",VLOOKUP(B3659,#REF!,3,0),IF(A3659="SUDECAP",VLOOKUP(B3659,#REF!,4,0),IF(A3659="SETOP",VLOOKUP(B3659,#REF!,3,0),IF(A3659="COTAÇÃO",VLOOKUP(B3659,'Mapa Cotações'!$A:$N,3,0)))))),(IF(A3659="SINAPI",VLOOKUP(B3659,#REF!,3,0),IF(A3659="SUDECAP",VLOOKUP(B3659,#REF!,4,0),IF(A3659="SETOP",VLOOKUP(B3659,#REF!,3,0),IF(A3659="COTAÇÃO",VLOOKUP(B3659,'Mapa Cotações'!$A:$N,3,0))))))))</f>
        <v/>
      </c>
      <c r="E3659" s="88"/>
      <c r="F3659" s="89" t="str">
        <f>IF(B3659="","",IF($A$8="NÃO DESONERADO",(IF(A3659="SINAPI",VLOOKUP(B3659,#REF!,4,0),IF(A3659="SUDECAP",VLOOKUP(B3659,#REF!,5,0),IF(A3659="SETOP",VLOOKUP(B3659,#REF!,4,0),IF(A3659="COTAÇÃO",VLOOKUP(B3659,'Mapa Cotações'!$A:$N,13,0)))))),(IF(A3659="SINAPI",VLOOKUP(B3659,#REF!,4,0),IF(A3659="SUDECAP",VLOOKUP(B3659,#REF!,5,0),IF(A3659="SETOP",VLOOKUP(B3659,#REF!,4,0),IF(A3659="COTAÇÃO",VLOOKUP(B3659,'Mapa Cotações'!$A:$N,13,0))))))))</f>
        <v/>
      </c>
      <c r="G3659" s="89" t="str">
        <f>IF(D3659="","",E3659*F3659)</f>
        <v/>
      </c>
    </row>
    <row r="3660" spans="1:7">
      <c r="A3660" s="87"/>
      <c r="B3660" s="87"/>
      <c r="C3660" s="278" t="str">
        <f>IF(B3660="","",IF($A$8="NÃO DESONERADO",(IF(A3660="SINAPI",VLOOKUP(B3660,#REF!,2,0),IF(A3660="SUDECAP",VLOOKUP(B3660,#REF!,3,0),IF(A3660="SETOP",VLOOKUP(B3660,#REF!,2,0),IF(A3660="COTAÇÃO",VLOOKUP(B3660,'Mapa Cotações'!$A:$N,2,0)))))),(IF(A3660="SINAPI",VLOOKUP(B3660,#REF!,2,0),IF(A3660="SUDECAP",VLOOKUP(B3660,#REF!,3,0),IF(A3660="SETOP",VLOOKUP(B3660,#REF!,2,0),IF(A3660="COTAÇÃO",VLOOKUP(B3660,'Mapa Cotações'!$A:$N,2,0))))))))</f>
        <v/>
      </c>
      <c r="D3660" s="89" t="str">
        <f>IF(B3660="","",IF($A$8="NÃO DESONERADO",(IF(A3660="SINAPI",VLOOKUP(B3660,#REF!,3,0),IF(A3660="SUDECAP",VLOOKUP(B3660,#REF!,4,0),IF(A3660="SETOP",VLOOKUP(B3660,#REF!,3,0),IF(A3660="COTAÇÃO",VLOOKUP(B3660,'Mapa Cotações'!$A:$N,3,0)))))),(IF(A3660="SINAPI",VLOOKUP(B3660,#REF!,3,0),IF(A3660="SUDECAP",VLOOKUP(B3660,#REF!,4,0),IF(A3660="SETOP",VLOOKUP(B3660,#REF!,3,0),IF(A3660="COTAÇÃO",VLOOKUP(B3660,'Mapa Cotações'!$A:$N,3,0))))))))</f>
        <v/>
      </c>
      <c r="E3660" s="88"/>
      <c r="F3660" s="89" t="str">
        <f>IF(B3660="","",IF($A$8="NÃO DESONERADO",(IF(A3660="SINAPI",VLOOKUP(B3660,#REF!,4,0),IF(A3660="SUDECAP",VLOOKUP(B3660,#REF!,5,0),IF(A3660="SETOP",VLOOKUP(B3660,#REF!,4,0),IF(A3660="COTAÇÃO",VLOOKUP(B3660,'Mapa Cotações'!$A:$N,13,0)))))),(IF(A3660="SINAPI",VLOOKUP(B3660,#REF!,4,0),IF(A3660="SUDECAP",VLOOKUP(B3660,#REF!,5,0),IF(A3660="SETOP",VLOOKUP(B3660,#REF!,4,0),IF(A3660="COTAÇÃO",VLOOKUP(B3660,'Mapa Cotações'!$A:$N,13,0))))))))</f>
        <v/>
      </c>
      <c r="G3660" s="89" t="str">
        <f>IF(D3660="","",E3660*F3660)</f>
        <v/>
      </c>
    </row>
    <row r="3661" spans="1:7">
      <c r="A3661" s="832" t="s">
        <v>1908</v>
      </c>
      <c r="B3661" s="833" t="s">
        <v>1908</v>
      </c>
      <c r="C3661" s="833"/>
      <c r="D3661" s="833"/>
      <c r="E3661" s="833"/>
      <c r="F3661" s="834"/>
      <c r="G3661" s="90" t="str">
        <f>IF(F3659="","",(SUM(G3659:G3660)))</f>
        <v/>
      </c>
    </row>
    <row r="3662" spans="1:7" ht="13.5" thickBot="1">
      <c r="A3662" s="91"/>
      <c r="B3662" s="92"/>
      <c r="C3662" s="163"/>
      <c r="D3662" s="99"/>
      <c r="E3662" s="100"/>
      <c r="F3662" s="101"/>
      <c r="G3662" s="102"/>
    </row>
    <row r="3663" spans="1:7" ht="13.5" thickBot="1">
      <c r="A3663" s="838" t="s">
        <v>1259</v>
      </c>
      <c r="B3663" s="839"/>
      <c r="C3663" s="839"/>
      <c r="D3663" s="839"/>
      <c r="E3663" s="839"/>
      <c r="F3663" s="840"/>
      <c r="G3663" s="103">
        <f>SUM(G3647,G3655,G3661)</f>
        <v>434.78821312499997</v>
      </c>
    </row>
    <row r="3666" spans="1:11">
      <c r="A3666" s="237" t="s">
        <v>131</v>
      </c>
      <c r="B3666" s="190" t="s">
        <v>27</v>
      </c>
      <c r="C3666" s="841" t="s">
        <v>1281</v>
      </c>
      <c r="D3666" s="841"/>
      <c r="E3666" s="841"/>
      <c r="F3666" s="841"/>
      <c r="G3666" s="81" t="s">
        <v>127</v>
      </c>
      <c r="I3666" s="480" t="s">
        <v>1901</v>
      </c>
      <c r="J3666" s="80"/>
      <c r="K3666" s="80"/>
    </row>
    <row r="3667" spans="1:11" ht="64.5" customHeight="1">
      <c r="A3667" s="179" t="s">
        <v>1073</v>
      </c>
      <c r="B3667" s="82"/>
      <c r="C3667" s="830" t="s">
        <v>1074</v>
      </c>
      <c r="D3667" s="831"/>
      <c r="E3667" s="831"/>
      <c r="F3667" s="186">
        <f>G3688</f>
        <v>519.30196312499993</v>
      </c>
      <c r="G3667" s="83" t="s">
        <v>167</v>
      </c>
      <c r="I3667" s="481"/>
      <c r="J3667" s="272"/>
      <c r="K3667" s="272"/>
    </row>
    <row r="3668" spans="1:11">
      <c r="A3668" s="818" t="s">
        <v>1902</v>
      </c>
      <c r="B3668" s="819"/>
      <c r="C3668" s="819"/>
      <c r="D3668" s="819"/>
      <c r="E3668" s="819"/>
      <c r="F3668" s="819"/>
      <c r="G3668" s="820"/>
    </row>
    <row r="3669" spans="1:11">
      <c r="A3669" s="84" t="s">
        <v>1903</v>
      </c>
      <c r="B3669" s="84" t="s">
        <v>131</v>
      </c>
      <c r="C3669" s="160" t="s">
        <v>1904</v>
      </c>
      <c r="D3669" s="84" t="s">
        <v>167</v>
      </c>
      <c r="E3669" s="85" t="s">
        <v>1905</v>
      </c>
      <c r="F3669" s="86" t="s">
        <v>1906</v>
      </c>
      <c r="G3669" s="86" t="s">
        <v>1907</v>
      </c>
    </row>
    <row r="3670" spans="1:11" ht="36">
      <c r="A3670" s="87" t="s">
        <v>1917</v>
      </c>
      <c r="B3670" s="187" t="s">
        <v>2117</v>
      </c>
      <c r="C3670" s="278" t="str">
        <f>IF(B3670="","",IF($A$8="NÃO DESONERADO",(IF(A3670="SINAPI",VLOOKUP(B3670,#REF!,2,0),IF(A3670="SUDECAP",VLOOKUP(B3670,#REF!,3,0),IF(A3670="SETOP",VLOOKUP(B3670,#REF!,2,0),IF(A3670="COTAÇÃO",VLOOKUP(B3670,'Mapa Cotações'!$A:$N,2,0)))))),(IF(A3670="SINAPI",VLOOKUP(B3670,#REF!,2,0),IF(A3670="SUDECAP",VLOOKUP(B3670,#REF!,3,0),IF(A3670="SETOP",VLOOKUP(B3670,#REF!,2,0),IF(A3670="COTAÇÃO",VLOOKUP(B3670,'Mapa Cotações'!$A:$N,2,0))))))))</f>
        <v>GRELHA EM ALUMÍNIO PARA PORTA, COM CONTRA MOLDURA,  MODELO AGS-T, L=425, H=325. REF.: TROX OU EQUIVALENTE</v>
      </c>
      <c r="D3670" s="89" t="str">
        <f>IF(B3670="","",IF($A$8="NÃO DESONERADO",(IF(A3670="SINAPI",VLOOKUP(B3670,#REF!,3,0),IF(A3670="SUDECAP",VLOOKUP(B3670,#REF!,4,0),IF(A3670="SETOP",VLOOKUP(B3670,#REF!,3,0),IF(A3670="COTAÇÃO",VLOOKUP(B3670,'Mapa Cotações'!$A:$N,3,0)))))),(IF(A3670="SINAPI",VLOOKUP(B3670,#REF!,3,0),IF(A3670="SUDECAP",VLOOKUP(B3670,#REF!,4,0),IF(A3670="SETOP",VLOOKUP(B3670,#REF!,3,0),IF(A3670="COTAÇÃO",VLOOKUP(B3670,'Mapa Cotações'!$A:$N,3,0))))))))</f>
        <v>UN</v>
      </c>
      <c r="E3670" s="88">
        <v>1</v>
      </c>
      <c r="F3670" s="89">
        <f>IF(B3670="","",IF($A$8="NÃO DESONERADO",(IF(A3670="SINAPI",VLOOKUP(B3670,#REF!,4,0),IF(A3670="SUDECAP",VLOOKUP(B3670,#REF!,5,0),IF(A3670="SETOP",VLOOKUP(B3670,#REF!,4,0),IF(A3670="COTAÇÃO",VLOOKUP(B3670,'Mapa Cotações'!$A:$N,13,0)))))),(IF(A3670="SINAPI",VLOOKUP(B3670,#REF!,4,0),IF(A3670="SUDECAP",VLOOKUP(B3670,#REF!,5,0),IF(A3670="SETOP",VLOOKUP(B3670,#REF!,4,0),IF(A3670="COTAÇÃO",VLOOKUP(B3670,'Mapa Cotações'!$A:$N,13,0))))))))</f>
        <v>399.89</v>
      </c>
      <c r="G3670" s="89">
        <f>IF(D3670="","",E3670*F3670)</f>
        <v>399.89</v>
      </c>
    </row>
    <row r="3671" spans="1:11">
      <c r="A3671" s="87"/>
      <c r="B3671" s="87"/>
      <c r="C3671" s="278" t="str">
        <f>IF(B3671="","",IF($A$8="NÃO DESONERADO",(IF(A3671="SINAPI",VLOOKUP(B3671,#REF!,2,0),IF(A3671="SUDECAP",VLOOKUP(B3671,#REF!,3,0),IF(A3671="SETOP",VLOOKUP(B3671,#REF!,2,0),IF(A3671="COTAÇÃO",VLOOKUP(B3671,'Mapa Cotações'!$A:$N,2,0)))))),(IF(A3671="SINAPI",VLOOKUP(B3671,#REF!,2,0),IF(A3671="SUDECAP",VLOOKUP(B3671,#REF!,3,0),IF(A3671="SETOP",VLOOKUP(B3671,#REF!,2,0),IF(A3671="COTAÇÃO",VLOOKUP(B3671,'Mapa Cotações'!$A:$N,2,0))))))))</f>
        <v/>
      </c>
      <c r="D3671" s="89" t="str">
        <f>IF(B3671="","",IF($A$8="NÃO DESONERADO",(IF(A3671="SINAPI",VLOOKUP(B3671,#REF!,3,0),IF(A3671="SUDECAP",VLOOKUP(B3671,#REF!,4,0),IF(A3671="SETOP",VLOOKUP(B3671,#REF!,3,0),IF(A3671="COTAÇÃO",VLOOKUP(B3671,'Mapa Cotações'!$A:$N,3,0)))))),(IF(A3671="SINAPI",VLOOKUP(B3671,#REF!,3,0),IF(A3671="SUDECAP",VLOOKUP(B3671,#REF!,4,0),IF(A3671="SETOP",VLOOKUP(B3671,#REF!,3,0),IF(A3671="COTAÇÃO",VLOOKUP(B3671,'Mapa Cotações'!$A:$N,3,0))))))))</f>
        <v/>
      </c>
      <c r="E3671" s="88"/>
      <c r="F3671" s="89" t="str">
        <f>IF(B3671="","",IF($A$8="NÃO DESONERADO",(IF(A3671="SINAPI",VLOOKUP(B3671,#REF!,4,0),IF(A3671="SUDECAP",VLOOKUP(B3671,#REF!,5,0),IF(A3671="SETOP",VLOOKUP(B3671,#REF!,4,0),IF(A3671="COTAÇÃO",VLOOKUP(B3671,'Mapa Cotações'!$A:$N,13,0)))))),(IF(A3671="SINAPI",VLOOKUP(B3671,#REF!,4,0),IF(A3671="SUDECAP",VLOOKUP(B3671,#REF!,5,0),IF(A3671="SETOP",VLOOKUP(B3671,#REF!,4,0),IF(A3671="COTAÇÃO",VLOOKUP(B3671,'Mapa Cotações'!$A:$N,13,0))))))))</f>
        <v/>
      </c>
      <c r="G3671" s="89" t="str">
        <f>IF(D3671="","",E3671*F3671)</f>
        <v/>
      </c>
    </row>
    <row r="3672" spans="1:11">
      <c r="A3672" s="832" t="s">
        <v>1908</v>
      </c>
      <c r="B3672" s="833"/>
      <c r="C3672" s="833"/>
      <c r="D3672" s="833"/>
      <c r="E3672" s="833"/>
      <c r="F3672" s="834"/>
      <c r="G3672" s="90">
        <f>IF(F3670="","",(SUM(G3670:G3671)))</f>
        <v>399.89</v>
      </c>
    </row>
    <row r="3673" spans="1:11">
      <c r="A3673" s="91"/>
      <c r="B3673" s="92"/>
      <c r="C3673" s="161"/>
      <c r="D3673" s="93"/>
      <c r="E3673" s="94"/>
      <c r="F3673" s="95"/>
      <c r="G3673" s="96"/>
    </row>
    <row r="3674" spans="1:11">
      <c r="A3674" s="835" t="s">
        <v>1909</v>
      </c>
      <c r="B3674" s="836"/>
      <c r="C3674" s="836"/>
      <c r="D3674" s="836"/>
      <c r="E3674" s="836"/>
      <c r="F3674" s="836"/>
      <c r="G3674" s="837"/>
    </row>
    <row r="3675" spans="1:11">
      <c r="A3675" s="84" t="s">
        <v>1903</v>
      </c>
      <c r="B3675" s="84" t="s">
        <v>131</v>
      </c>
      <c r="C3675" s="160" t="s">
        <v>1904</v>
      </c>
      <c r="D3675" s="84" t="s">
        <v>167</v>
      </c>
      <c r="E3675" s="85" t="s">
        <v>1905</v>
      </c>
      <c r="F3675" s="86" t="s">
        <v>1906</v>
      </c>
      <c r="G3675" s="86" t="s">
        <v>1907</v>
      </c>
    </row>
    <row r="3676" spans="1:11" ht="24">
      <c r="A3676" s="87" t="s">
        <v>2</v>
      </c>
      <c r="B3676" s="87">
        <v>88243</v>
      </c>
      <c r="C3676" s="278" t="s">
        <v>2100</v>
      </c>
      <c r="D3676" s="89" t="s">
        <v>137</v>
      </c>
      <c r="E3676" s="88">
        <f>10*(0.425*0.325)</f>
        <v>1.3812500000000001</v>
      </c>
      <c r="F3676" s="89">
        <v>24.36</v>
      </c>
      <c r="G3676" s="89">
        <f>IF(D3676="","",E3676*F3676)</f>
        <v>33.64725</v>
      </c>
    </row>
    <row r="3677" spans="1:11" ht="24">
      <c r="A3677" s="87" t="s">
        <v>2</v>
      </c>
      <c r="B3677" s="87">
        <v>100308</v>
      </c>
      <c r="C3677" s="278" t="s">
        <v>1936</v>
      </c>
      <c r="D3677" s="89" t="s">
        <v>137</v>
      </c>
      <c r="E3677" s="88">
        <f>10*(0.425*0.325)</f>
        <v>1.3812500000000001</v>
      </c>
      <c r="F3677" s="89">
        <v>25.97</v>
      </c>
      <c r="G3677" s="89">
        <f t="shared" ref="G3677:G3678" si="57">IF(D3677="","",E3677*F3677)</f>
        <v>35.871062500000001</v>
      </c>
    </row>
    <row r="3678" spans="1:11" ht="24">
      <c r="A3678" s="87" t="s">
        <v>2</v>
      </c>
      <c r="B3678" s="87">
        <v>88261</v>
      </c>
      <c r="C3678" s="278" t="s">
        <v>2116</v>
      </c>
      <c r="D3678" s="89" t="s">
        <v>137</v>
      </c>
      <c r="E3678" s="88">
        <f>1.002*10*(0.425*0.325)</f>
        <v>1.3840124999999999</v>
      </c>
      <c r="F3678" s="89">
        <v>26.99</v>
      </c>
      <c r="G3678" s="89">
        <f t="shared" si="57"/>
        <v>37.354497374999994</v>
      </c>
    </row>
    <row r="3679" spans="1:11">
      <c r="A3679" s="87" t="s">
        <v>2</v>
      </c>
      <c r="B3679" s="87">
        <v>88316</v>
      </c>
      <c r="C3679" s="278" t="s">
        <v>1922</v>
      </c>
      <c r="D3679" s="89" t="s">
        <v>137</v>
      </c>
      <c r="E3679" s="88">
        <f>0.501*10*(0.425*0.325)</f>
        <v>0.69200624999999993</v>
      </c>
      <c r="F3679" s="89">
        <v>18.12</v>
      </c>
      <c r="G3679" s="89">
        <f>IF(D3679="","",E3679*F3679)</f>
        <v>12.53915325</v>
      </c>
    </row>
    <row r="3680" spans="1:11">
      <c r="A3680" s="832" t="s">
        <v>1908</v>
      </c>
      <c r="B3680" s="833"/>
      <c r="C3680" s="833"/>
      <c r="D3680" s="833"/>
      <c r="E3680" s="833"/>
      <c r="F3680" s="834"/>
      <c r="G3680" s="90">
        <f>IF(F3676="","",(SUM(G3676:G3679)))</f>
        <v>119.411963125</v>
      </c>
    </row>
    <row r="3681" spans="1:11">
      <c r="A3681" s="91"/>
      <c r="B3681" s="92"/>
      <c r="C3681" s="162"/>
      <c r="D3681" s="92"/>
      <c r="E3681" s="97"/>
      <c r="F3681" s="98"/>
      <c r="G3681" s="96"/>
    </row>
    <row r="3682" spans="1:11">
      <c r="A3682" s="835" t="s">
        <v>1912</v>
      </c>
      <c r="B3682" s="836"/>
      <c r="C3682" s="836"/>
      <c r="D3682" s="836"/>
      <c r="E3682" s="836"/>
      <c r="F3682" s="836"/>
      <c r="G3682" s="837"/>
    </row>
    <row r="3683" spans="1:11">
      <c r="A3683" s="84" t="s">
        <v>1903</v>
      </c>
      <c r="B3683" s="84" t="s">
        <v>131</v>
      </c>
      <c r="C3683" s="160" t="s">
        <v>1904</v>
      </c>
      <c r="D3683" s="84" t="s">
        <v>167</v>
      </c>
      <c r="E3683" s="85" t="s">
        <v>1905</v>
      </c>
      <c r="F3683" s="86" t="s">
        <v>1906</v>
      </c>
      <c r="G3683" s="86" t="s">
        <v>1907</v>
      </c>
    </row>
    <row r="3684" spans="1:11">
      <c r="A3684" s="87"/>
      <c r="B3684" s="87"/>
      <c r="C3684" s="278" t="str">
        <f>IF(B3684="","",IF($A$8="NÃO DESONERADO",(IF(A3684="SINAPI",VLOOKUP(B3684,#REF!,2,0),IF(A3684="SUDECAP",VLOOKUP(B3684,#REF!,3,0),IF(A3684="SETOP",VLOOKUP(B3684,#REF!,2,0),IF(A3684="COTAÇÃO",VLOOKUP(B3684,'Mapa Cotações'!$A:$N,2,0)))))),(IF(A3684="SINAPI",VLOOKUP(B3684,#REF!,2,0),IF(A3684="SUDECAP",VLOOKUP(B3684,#REF!,3,0),IF(A3684="SETOP",VLOOKUP(B3684,#REF!,2,0),IF(A3684="COTAÇÃO",VLOOKUP(B3684,'Mapa Cotações'!$A:$N,2,0))))))))</f>
        <v/>
      </c>
      <c r="D3684" s="89" t="str">
        <f>IF(B3684="","",IF($A$8="NÃO DESONERADO",(IF(A3684="SINAPI",VLOOKUP(B3684,#REF!,3,0),IF(A3684="SUDECAP",VLOOKUP(B3684,#REF!,4,0),IF(A3684="SETOP",VLOOKUP(B3684,#REF!,3,0),IF(A3684="COTAÇÃO",VLOOKUP(B3684,'Mapa Cotações'!$A:$N,3,0)))))),(IF(A3684="SINAPI",VLOOKUP(B3684,#REF!,3,0),IF(A3684="SUDECAP",VLOOKUP(B3684,#REF!,4,0),IF(A3684="SETOP",VLOOKUP(B3684,#REF!,3,0),IF(A3684="COTAÇÃO",VLOOKUP(B3684,'Mapa Cotações'!$A:$N,3,0))))))))</f>
        <v/>
      </c>
      <c r="E3684" s="88"/>
      <c r="F3684" s="89" t="str">
        <f>IF(B3684="","",IF($A$8="NÃO DESONERADO",(IF(A3684="SINAPI",VLOOKUP(B3684,#REF!,4,0),IF(A3684="SUDECAP",VLOOKUP(B3684,#REF!,5,0),IF(A3684="SETOP",VLOOKUP(B3684,#REF!,4,0),IF(A3684="COTAÇÃO",VLOOKUP(B3684,'Mapa Cotações'!$A:$N,13,0)))))),(IF(A3684="SINAPI",VLOOKUP(B3684,#REF!,4,0),IF(A3684="SUDECAP",VLOOKUP(B3684,#REF!,5,0),IF(A3684="SETOP",VLOOKUP(B3684,#REF!,4,0),IF(A3684="COTAÇÃO",VLOOKUP(B3684,'Mapa Cotações'!$A:$N,13,0))))))))</f>
        <v/>
      </c>
      <c r="G3684" s="89" t="str">
        <f>IF(D3684="","",E3684*F3684)</f>
        <v/>
      </c>
    </row>
    <row r="3685" spans="1:11">
      <c r="A3685" s="87"/>
      <c r="B3685" s="87"/>
      <c r="C3685" s="278" t="str">
        <f>IF(B3685="","",IF($A$8="NÃO DESONERADO",(IF(A3685="SINAPI",VLOOKUP(B3685,#REF!,2,0),IF(A3685="SUDECAP",VLOOKUP(B3685,#REF!,3,0),IF(A3685="SETOP",VLOOKUP(B3685,#REF!,2,0),IF(A3685="COTAÇÃO",VLOOKUP(B3685,'Mapa Cotações'!$A:$N,2,0)))))),(IF(A3685="SINAPI",VLOOKUP(B3685,#REF!,2,0),IF(A3685="SUDECAP",VLOOKUP(B3685,#REF!,3,0),IF(A3685="SETOP",VLOOKUP(B3685,#REF!,2,0),IF(A3685="COTAÇÃO",VLOOKUP(B3685,'Mapa Cotações'!$A:$N,2,0))))))))</f>
        <v/>
      </c>
      <c r="D3685" s="89" t="str">
        <f>IF(B3685="","",IF($A$8="NÃO DESONERADO",(IF(A3685="SINAPI",VLOOKUP(B3685,#REF!,3,0),IF(A3685="SUDECAP",VLOOKUP(B3685,#REF!,4,0),IF(A3685="SETOP",VLOOKUP(B3685,#REF!,3,0),IF(A3685="COTAÇÃO",VLOOKUP(B3685,'Mapa Cotações'!$A:$N,3,0)))))),(IF(A3685="SINAPI",VLOOKUP(B3685,#REF!,3,0),IF(A3685="SUDECAP",VLOOKUP(B3685,#REF!,4,0),IF(A3685="SETOP",VLOOKUP(B3685,#REF!,3,0),IF(A3685="COTAÇÃO",VLOOKUP(B3685,'Mapa Cotações'!$A:$N,3,0))))))))</f>
        <v/>
      </c>
      <c r="E3685" s="88"/>
      <c r="F3685" s="89" t="str">
        <f>IF(B3685="","",IF($A$8="NÃO DESONERADO",(IF(A3685="SINAPI",VLOOKUP(B3685,#REF!,4,0),IF(A3685="SUDECAP",VLOOKUP(B3685,#REF!,5,0),IF(A3685="SETOP",VLOOKUP(B3685,#REF!,4,0),IF(A3685="COTAÇÃO",VLOOKUP(B3685,'Mapa Cotações'!$A:$N,13,0)))))),(IF(A3685="SINAPI",VLOOKUP(B3685,#REF!,4,0),IF(A3685="SUDECAP",VLOOKUP(B3685,#REF!,5,0),IF(A3685="SETOP",VLOOKUP(B3685,#REF!,4,0),IF(A3685="COTAÇÃO",VLOOKUP(B3685,'Mapa Cotações'!$A:$N,13,0))))))))</f>
        <v/>
      </c>
      <c r="G3685" s="89" t="str">
        <f>IF(D3685="","",E3685*F3685)</f>
        <v/>
      </c>
    </row>
    <row r="3686" spans="1:11">
      <c r="A3686" s="832" t="s">
        <v>1908</v>
      </c>
      <c r="B3686" s="833" t="s">
        <v>1908</v>
      </c>
      <c r="C3686" s="833"/>
      <c r="D3686" s="833"/>
      <c r="E3686" s="833"/>
      <c r="F3686" s="834"/>
      <c r="G3686" s="90" t="str">
        <f>IF(F3684="","",(SUM(G3684:G3685)))</f>
        <v/>
      </c>
    </row>
    <row r="3687" spans="1:11" ht="13.5" thickBot="1">
      <c r="A3687" s="91"/>
      <c r="B3687" s="92"/>
      <c r="C3687" s="163"/>
      <c r="D3687" s="99"/>
      <c r="E3687" s="100"/>
      <c r="F3687" s="101"/>
      <c r="G3687" s="102"/>
    </row>
    <row r="3688" spans="1:11" ht="13.5" thickBot="1">
      <c r="A3688" s="838" t="s">
        <v>1259</v>
      </c>
      <c r="B3688" s="839"/>
      <c r="C3688" s="839"/>
      <c r="D3688" s="839"/>
      <c r="E3688" s="839"/>
      <c r="F3688" s="840"/>
      <c r="G3688" s="103">
        <f>SUM(G3672,G3680,G3686)</f>
        <v>519.30196312499993</v>
      </c>
    </row>
    <row r="3691" spans="1:11">
      <c r="A3691" s="237" t="s">
        <v>131</v>
      </c>
      <c r="B3691" s="190" t="s">
        <v>27</v>
      </c>
      <c r="C3691" s="841" t="s">
        <v>1281</v>
      </c>
      <c r="D3691" s="841"/>
      <c r="E3691" s="841"/>
      <c r="F3691" s="841"/>
      <c r="G3691" s="81" t="s">
        <v>127</v>
      </c>
      <c r="I3691" s="480" t="s">
        <v>1901</v>
      </c>
      <c r="J3691" s="80"/>
      <c r="K3691" s="80"/>
    </row>
    <row r="3692" spans="1:11" ht="64.5" customHeight="1">
      <c r="A3692" s="179" t="s">
        <v>1078</v>
      </c>
      <c r="B3692" s="82"/>
      <c r="C3692" s="830" t="s">
        <v>1079</v>
      </c>
      <c r="D3692" s="831"/>
      <c r="E3692" s="831"/>
      <c r="F3692" s="186">
        <f>G3711</f>
        <v>3528.0595999999996</v>
      </c>
      <c r="G3692" s="83" t="s">
        <v>167</v>
      </c>
      <c r="I3692" s="481"/>
      <c r="J3692" s="272"/>
      <c r="K3692" s="272"/>
    </row>
    <row r="3693" spans="1:11">
      <c r="A3693" s="818" t="s">
        <v>1902</v>
      </c>
      <c r="B3693" s="819"/>
      <c r="C3693" s="819"/>
      <c r="D3693" s="819"/>
      <c r="E3693" s="819"/>
      <c r="F3693" s="819"/>
      <c r="G3693" s="820"/>
    </row>
    <row r="3694" spans="1:11">
      <c r="A3694" s="84" t="s">
        <v>1903</v>
      </c>
      <c r="B3694" s="84" t="s">
        <v>131</v>
      </c>
      <c r="C3694" s="160" t="s">
        <v>1904</v>
      </c>
      <c r="D3694" s="84" t="s">
        <v>167</v>
      </c>
      <c r="E3694" s="85" t="s">
        <v>1905</v>
      </c>
      <c r="F3694" s="86" t="s">
        <v>1906</v>
      </c>
      <c r="G3694" s="86" t="s">
        <v>1907</v>
      </c>
    </row>
    <row r="3695" spans="1:11" ht="48">
      <c r="A3695" s="87" t="s">
        <v>1917</v>
      </c>
      <c r="B3695" s="187" t="s">
        <v>2118</v>
      </c>
      <c r="C3695" s="278" t="str">
        <f>IF(B3695="","",IF($A$8="NÃO DESONERADO",(IF(A3695="SINAPI",VLOOKUP(B3695,#REF!,2,0),IF(A3695="SUDECAP",VLOOKUP(B3695,#REF!,3,0),IF(A3695="SETOP",VLOOKUP(B3695,#REF!,2,0),IF(A3695="COTAÇÃO",VLOOKUP(B3695,'Mapa Cotações'!$A:$N,2,0)))))),(IF(A3695="SINAPI",VLOOKUP(B3695,#REF!,2,0),IF(A3695="SUDECAP",VLOOKUP(B3695,#REF!,3,0),IF(A3695="SETOP",VLOOKUP(B3695,#REF!,2,0),IF(A3695="COTAÇÃO",VLOOKUP(B3695,'Mapa Cotações'!$A:$N,2,0))))))))</f>
        <v>REGISTRO PARA CONTROLE DE VAZÃO DE AR COM LÂMINAS CONVERGENTES, MODELO JN-B, ACIONADO POR ATUADOR, COM KIT PARA FIXAÇÃO DO ATUADOR. B=800,H=510, REF.: TROX OU EQUIVALENTE</v>
      </c>
      <c r="D3695" s="89" t="str">
        <f>IF(B3695="","",IF($A$8="NÃO DESONERADO",(IF(A3695="SINAPI",VLOOKUP(B3695,#REF!,3,0),IF(A3695="SUDECAP",VLOOKUP(B3695,#REF!,4,0),IF(A3695="SETOP",VLOOKUP(B3695,#REF!,3,0),IF(A3695="COTAÇÃO",VLOOKUP(B3695,'Mapa Cotações'!$A:$N,3,0)))))),(IF(A3695="SINAPI",VLOOKUP(B3695,#REF!,3,0),IF(A3695="SUDECAP",VLOOKUP(B3695,#REF!,4,0),IF(A3695="SETOP",VLOOKUP(B3695,#REF!,3,0),IF(A3695="COTAÇÃO",VLOOKUP(B3695,'Mapa Cotações'!$A:$N,3,0))))))))</f>
        <v>UN</v>
      </c>
      <c r="E3695" s="88">
        <v>1</v>
      </c>
      <c r="F3695" s="89">
        <f>IF(B3695="","",IF($A$8="NÃO DESONERADO",(IF(A3695="SINAPI",VLOOKUP(B3695,#REF!,4,0),IF(A3695="SUDECAP",VLOOKUP(B3695,#REF!,5,0),IF(A3695="SETOP",VLOOKUP(B3695,#REF!,4,0),IF(A3695="COTAÇÃO",VLOOKUP(B3695,'Mapa Cotações'!$A:$N,13,0)))))),(IF(A3695="SINAPI",VLOOKUP(B3695,#REF!,4,0),IF(A3695="SUDECAP",VLOOKUP(B3695,#REF!,5,0),IF(A3695="SETOP",VLOOKUP(B3695,#REF!,4,0),IF(A3695="COTAÇÃO",VLOOKUP(B3695,'Mapa Cotações'!$A:$N,13,0))))))))</f>
        <v>3320.7</v>
      </c>
      <c r="G3695" s="89">
        <f>IF(D3695="","",E3695*F3695)</f>
        <v>3320.7</v>
      </c>
    </row>
    <row r="3696" spans="1:11">
      <c r="A3696" s="87"/>
      <c r="B3696" s="87"/>
      <c r="C3696" s="278" t="str">
        <f>IF(B3696="","",IF($A$8="NÃO DESONERADO",(IF(A3696="SINAPI",VLOOKUP(B3696,#REF!,2,0),IF(A3696="SUDECAP",VLOOKUP(B3696,#REF!,3,0),IF(A3696="SETOP",VLOOKUP(B3696,#REF!,2,0),IF(A3696="COTAÇÃO",VLOOKUP(B3696,'Mapa Cotações'!$A:$N,2,0)))))),(IF(A3696="SINAPI",VLOOKUP(B3696,#REF!,2,0),IF(A3696="SUDECAP",VLOOKUP(B3696,#REF!,3,0),IF(A3696="SETOP",VLOOKUP(B3696,#REF!,2,0),IF(A3696="COTAÇÃO",VLOOKUP(B3696,'Mapa Cotações'!$A:$N,2,0))))))))</f>
        <v/>
      </c>
      <c r="D3696" s="89" t="str">
        <f>IF(B3696="","",IF($A$8="NÃO DESONERADO",(IF(A3696="SINAPI",VLOOKUP(B3696,#REF!,3,0),IF(A3696="SUDECAP",VLOOKUP(B3696,#REF!,4,0),IF(A3696="SETOP",VLOOKUP(B3696,#REF!,3,0),IF(A3696="COTAÇÃO",VLOOKUP(B3696,'Mapa Cotações'!$A:$N,3,0)))))),(IF(A3696="SINAPI",VLOOKUP(B3696,#REF!,3,0),IF(A3696="SUDECAP",VLOOKUP(B3696,#REF!,4,0),IF(A3696="SETOP",VLOOKUP(B3696,#REF!,3,0),IF(A3696="COTAÇÃO",VLOOKUP(B3696,'Mapa Cotações'!$A:$N,3,0))))))))</f>
        <v/>
      </c>
      <c r="E3696" s="88"/>
      <c r="F3696" s="89" t="str">
        <f>IF(B3696="","",IF($A$8="NÃO DESONERADO",(IF(A3696="SINAPI",VLOOKUP(B3696,#REF!,4,0),IF(A3696="SUDECAP",VLOOKUP(B3696,#REF!,5,0),IF(A3696="SETOP",VLOOKUP(B3696,#REF!,4,0),IF(A3696="COTAÇÃO",VLOOKUP(B3696,'Mapa Cotações'!$A:$N,13,0)))))),(IF(A3696="SINAPI",VLOOKUP(B3696,#REF!,4,0),IF(A3696="SUDECAP",VLOOKUP(B3696,#REF!,5,0),IF(A3696="SETOP",VLOOKUP(B3696,#REF!,4,0),IF(A3696="COTAÇÃO",VLOOKUP(B3696,'Mapa Cotações'!$A:$N,13,0))))))))</f>
        <v/>
      </c>
      <c r="G3696" s="89" t="str">
        <f>IF(D3696="","",E3696*F3696)</f>
        <v/>
      </c>
    </row>
    <row r="3697" spans="1:7">
      <c r="A3697" s="832" t="s">
        <v>1908</v>
      </c>
      <c r="B3697" s="833"/>
      <c r="C3697" s="833"/>
      <c r="D3697" s="833"/>
      <c r="E3697" s="833"/>
      <c r="F3697" s="834"/>
      <c r="G3697" s="90">
        <f>IF(F3695="","",(SUM(G3695:G3696)))</f>
        <v>3320.7</v>
      </c>
    </row>
    <row r="3698" spans="1:7">
      <c r="A3698" s="91"/>
      <c r="B3698" s="92"/>
      <c r="C3698" s="161"/>
      <c r="D3698" s="93"/>
      <c r="E3698" s="94"/>
      <c r="F3698" s="95"/>
      <c r="G3698" s="96"/>
    </row>
    <row r="3699" spans="1:7">
      <c r="A3699" s="835" t="s">
        <v>1909</v>
      </c>
      <c r="B3699" s="836"/>
      <c r="C3699" s="836"/>
      <c r="D3699" s="836"/>
      <c r="E3699" s="836"/>
      <c r="F3699" s="836"/>
      <c r="G3699" s="837"/>
    </row>
    <row r="3700" spans="1:7">
      <c r="A3700" s="84" t="s">
        <v>1903</v>
      </c>
      <c r="B3700" s="84" t="s">
        <v>131</v>
      </c>
      <c r="C3700" s="160" t="s">
        <v>1904</v>
      </c>
      <c r="D3700" s="84" t="s">
        <v>167</v>
      </c>
      <c r="E3700" s="85" t="s">
        <v>1905</v>
      </c>
      <c r="F3700" s="86" t="s">
        <v>1906</v>
      </c>
      <c r="G3700" s="86" t="s">
        <v>1907</v>
      </c>
    </row>
    <row r="3701" spans="1:7" ht="24">
      <c r="A3701" s="87" t="s">
        <v>2</v>
      </c>
      <c r="B3701" s="87">
        <v>88243</v>
      </c>
      <c r="C3701" s="278" t="s">
        <v>2100</v>
      </c>
      <c r="D3701" s="89" t="s">
        <v>137</v>
      </c>
      <c r="E3701" s="88">
        <f>10*(0.8*0.515)</f>
        <v>4.12</v>
      </c>
      <c r="F3701" s="89">
        <v>24.36</v>
      </c>
      <c r="G3701" s="89">
        <f>IF(D3701="","",E3701*F3701)</f>
        <v>100.36320000000001</v>
      </c>
    </row>
    <row r="3702" spans="1:7" ht="24">
      <c r="A3702" s="87" t="s">
        <v>2</v>
      </c>
      <c r="B3702" s="87">
        <v>100308</v>
      </c>
      <c r="C3702" s="278" t="s">
        <v>1936</v>
      </c>
      <c r="D3702" s="89" t="s">
        <v>137</v>
      </c>
      <c r="E3702" s="88">
        <f>10*(0.8*0.515)</f>
        <v>4.12</v>
      </c>
      <c r="F3702" s="89">
        <v>25.97</v>
      </c>
      <c r="G3702" s="89">
        <f>IF(D3702="","",E3702*F3702)</f>
        <v>106.99639999999999</v>
      </c>
    </row>
    <row r="3703" spans="1:7">
      <c r="A3703" s="832" t="s">
        <v>1908</v>
      </c>
      <c r="B3703" s="833"/>
      <c r="C3703" s="833"/>
      <c r="D3703" s="833"/>
      <c r="E3703" s="833"/>
      <c r="F3703" s="834"/>
      <c r="G3703" s="90">
        <f>IF(F3701="","",(SUM(G3701:G3702)))</f>
        <v>207.3596</v>
      </c>
    </row>
    <row r="3704" spans="1:7">
      <c r="A3704" s="91"/>
      <c r="B3704" s="92"/>
      <c r="C3704" s="162"/>
      <c r="D3704" s="92"/>
      <c r="E3704" s="97"/>
      <c r="F3704" s="98"/>
      <c r="G3704" s="96"/>
    </row>
    <row r="3705" spans="1:7">
      <c r="A3705" s="835" t="s">
        <v>1912</v>
      </c>
      <c r="B3705" s="836"/>
      <c r="C3705" s="836"/>
      <c r="D3705" s="836"/>
      <c r="E3705" s="836"/>
      <c r="F3705" s="836"/>
      <c r="G3705" s="837"/>
    </row>
    <row r="3706" spans="1:7">
      <c r="A3706" s="84" t="s">
        <v>1903</v>
      </c>
      <c r="B3706" s="84" t="s">
        <v>131</v>
      </c>
      <c r="C3706" s="160" t="s">
        <v>1904</v>
      </c>
      <c r="D3706" s="84" t="s">
        <v>167</v>
      </c>
      <c r="E3706" s="85" t="s">
        <v>1905</v>
      </c>
      <c r="F3706" s="86" t="s">
        <v>1906</v>
      </c>
      <c r="G3706" s="86" t="s">
        <v>1907</v>
      </c>
    </row>
    <row r="3707" spans="1:7">
      <c r="A3707" s="87"/>
      <c r="B3707" s="87"/>
      <c r="C3707" s="278" t="str">
        <f>IF(B3707="","",IF($A$8="NÃO DESONERADO",(IF(A3707="SINAPI",VLOOKUP(B3707,#REF!,2,0),IF(A3707="SUDECAP",VLOOKUP(B3707,#REF!,3,0),IF(A3707="SETOP",VLOOKUP(B3707,#REF!,2,0),IF(A3707="COTAÇÃO",VLOOKUP(B3707,'Mapa Cotações'!$A:$N,2,0)))))),(IF(A3707="SINAPI",VLOOKUP(B3707,#REF!,2,0),IF(A3707="SUDECAP",VLOOKUP(B3707,#REF!,3,0),IF(A3707="SETOP",VLOOKUP(B3707,#REF!,2,0),IF(A3707="COTAÇÃO",VLOOKUP(B3707,'Mapa Cotações'!$A:$N,2,0))))))))</f>
        <v/>
      </c>
      <c r="D3707" s="89" t="str">
        <f>IF(B3707="","",IF($A$8="NÃO DESONERADO",(IF(A3707="SINAPI",VLOOKUP(B3707,#REF!,3,0),IF(A3707="SUDECAP",VLOOKUP(B3707,#REF!,4,0),IF(A3707="SETOP",VLOOKUP(B3707,#REF!,3,0),IF(A3707="COTAÇÃO",VLOOKUP(B3707,'Mapa Cotações'!$A:$N,3,0)))))),(IF(A3707="SINAPI",VLOOKUP(B3707,#REF!,3,0),IF(A3707="SUDECAP",VLOOKUP(B3707,#REF!,4,0),IF(A3707="SETOP",VLOOKUP(B3707,#REF!,3,0),IF(A3707="COTAÇÃO",VLOOKUP(B3707,'Mapa Cotações'!$A:$N,3,0))))))))</f>
        <v/>
      </c>
      <c r="E3707" s="88"/>
      <c r="F3707" s="89" t="str">
        <f>IF(B3707="","",IF($A$8="NÃO DESONERADO",(IF(A3707="SINAPI",VLOOKUP(B3707,#REF!,4,0),IF(A3707="SUDECAP",VLOOKUP(B3707,#REF!,5,0),IF(A3707="SETOP",VLOOKUP(B3707,#REF!,4,0),IF(A3707="COTAÇÃO",VLOOKUP(B3707,'Mapa Cotações'!$A:$N,13,0)))))),(IF(A3707="SINAPI",VLOOKUP(B3707,#REF!,4,0),IF(A3707="SUDECAP",VLOOKUP(B3707,#REF!,5,0),IF(A3707="SETOP",VLOOKUP(B3707,#REF!,4,0),IF(A3707="COTAÇÃO",VLOOKUP(B3707,'Mapa Cotações'!$A:$N,13,0))))))))</f>
        <v/>
      </c>
      <c r="G3707" s="89" t="str">
        <f>IF(D3707="","",E3707*F3707)</f>
        <v/>
      </c>
    </row>
    <row r="3708" spans="1:7">
      <c r="A3708" s="87"/>
      <c r="B3708" s="87"/>
      <c r="C3708" s="278" t="str">
        <f>IF(B3708="","",IF($A$8="NÃO DESONERADO",(IF(A3708="SINAPI",VLOOKUP(B3708,#REF!,2,0),IF(A3708="SUDECAP",VLOOKUP(B3708,#REF!,3,0),IF(A3708="SETOP",VLOOKUP(B3708,#REF!,2,0),IF(A3708="COTAÇÃO",VLOOKUP(B3708,'Mapa Cotações'!$A:$N,2,0)))))),(IF(A3708="SINAPI",VLOOKUP(B3708,#REF!,2,0),IF(A3708="SUDECAP",VLOOKUP(B3708,#REF!,3,0),IF(A3708="SETOP",VLOOKUP(B3708,#REF!,2,0),IF(A3708="COTAÇÃO",VLOOKUP(B3708,'Mapa Cotações'!$A:$N,2,0))))))))</f>
        <v/>
      </c>
      <c r="D3708" s="89" t="str">
        <f>IF(B3708="","",IF($A$8="NÃO DESONERADO",(IF(A3708="SINAPI",VLOOKUP(B3708,#REF!,3,0),IF(A3708="SUDECAP",VLOOKUP(B3708,#REF!,4,0),IF(A3708="SETOP",VLOOKUP(B3708,#REF!,3,0),IF(A3708="COTAÇÃO",VLOOKUP(B3708,'Mapa Cotações'!$A:$N,3,0)))))),(IF(A3708="SINAPI",VLOOKUP(B3708,#REF!,3,0),IF(A3708="SUDECAP",VLOOKUP(B3708,#REF!,4,0),IF(A3708="SETOP",VLOOKUP(B3708,#REF!,3,0),IF(A3708="COTAÇÃO",VLOOKUP(B3708,'Mapa Cotações'!$A:$N,3,0))))))))</f>
        <v/>
      </c>
      <c r="E3708" s="88"/>
      <c r="F3708" s="89" t="str">
        <f>IF(B3708="","",IF($A$8="NÃO DESONERADO",(IF(A3708="SINAPI",VLOOKUP(B3708,#REF!,4,0),IF(A3708="SUDECAP",VLOOKUP(B3708,#REF!,5,0),IF(A3708="SETOP",VLOOKUP(B3708,#REF!,4,0),IF(A3708="COTAÇÃO",VLOOKUP(B3708,'Mapa Cotações'!$A:$N,13,0)))))),(IF(A3708="SINAPI",VLOOKUP(B3708,#REF!,4,0),IF(A3708="SUDECAP",VLOOKUP(B3708,#REF!,5,0),IF(A3708="SETOP",VLOOKUP(B3708,#REF!,4,0),IF(A3708="COTAÇÃO",VLOOKUP(B3708,'Mapa Cotações'!$A:$N,13,0))))))))</f>
        <v/>
      </c>
      <c r="G3708" s="89" t="str">
        <f>IF(D3708="","",E3708*F3708)</f>
        <v/>
      </c>
    </row>
    <row r="3709" spans="1:7">
      <c r="A3709" s="832" t="s">
        <v>1908</v>
      </c>
      <c r="B3709" s="833" t="s">
        <v>1908</v>
      </c>
      <c r="C3709" s="833"/>
      <c r="D3709" s="833"/>
      <c r="E3709" s="833"/>
      <c r="F3709" s="834"/>
      <c r="G3709" s="90" t="str">
        <f>IF(F3707="","",(SUM(G3707:G3708)))</f>
        <v/>
      </c>
    </row>
    <row r="3710" spans="1:7" ht="13.5" thickBot="1">
      <c r="A3710" s="91"/>
      <c r="B3710" s="92"/>
      <c r="C3710" s="163"/>
      <c r="D3710" s="99"/>
      <c r="E3710" s="100"/>
      <c r="F3710" s="101"/>
      <c r="G3710" s="102"/>
    </row>
    <row r="3711" spans="1:7" ht="13.5" thickBot="1">
      <c r="A3711" s="838" t="s">
        <v>1259</v>
      </c>
      <c r="B3711" s="839"/>
      <c r="C3711" s="839"/>
      <c r="D3711" s="839"/>
      <c r="E3711" s="839"/>
      <c r="F3711" s="840"/>
      <c r="G3711" s="103">
        <f>SUM(G3697,G3703,G3709)</f>
        <v>3528.0595999999996</v>
      </c>
    </row>
    <row r="3714" spans="1:11">
      <c r="A3714" s="237" t="s">
        <v>131</v>
      </c>
      <c r="B3714" s="190" t="s">
        <v>27</v>
      </c>
      <c r="C3714" s="841" t="s">
        <v>1281</v>
      </c>
      <c r="D3714" s="841"/>
      <c r="E3714" s="841"/>
      <c r="F3714" s="841"/>
      <c r="G3714" s="81" t="s">
        <v>127</v>
      </c>
      <c r="I3714" s="480" t="s">
        <v>1901</v>
      </c>
      <c r="J3714" s="80"/>
      <c r="K3714" s="80"/>
    </row>
    <row r="3715" spans="1:11" ht="64.5" customHeight="1">
      <c r="A3715" s="179" t="s">
        <v>1081</v>
      </c>
      <c r="B3715" s="82"/>
      <c r="C3715" s="830" t="s">
        <v>1082</v>
      </c>
      <c r="D3715" s="831"/>
      <c r="E3715" s="831"/>
      <c r="F3715" s="186">
        <f>G3734</f>
        <v>4239.7275</v>
      </c>
      <c r="G3715" s="83" t="s">
        <v>167</v>
      </c>
      <c r="I3715" s="481"/>
      <c r="J3715" s="272"/>
      <c r="K3715" s="272"/>
    </row>
    <row r="3716" spans="1:11">
      <c r="A3716" s="818" t="s">
        <v>1902</v>
      </c>
      <c r="B3716" s="819"/>
      <c r="C3716" s="819"/>
      <c r="D3716" s="819"/>
      <c r="E3716" s="819"/>
      <c r="F3716" s="819"/>
      <c r="G3716" s="820"/>
    </row>
    <row r="3717" spans="1:11">
      <c r="A3717" s="84" t="s">
        <v>1903</v>
      </c>
      <c r="B3717" s="84" t="s">
        <v>131</v>
      </c>
      <c r="C3717" s="160" t="s">
        <v>1904</v>
      </c>
      <c r="D3717" s="84" t="s">
        <v>167</v>
      </c>
      <c r="E3717" s="85" t="s">
        <v>1905</v>
      </c>
      <c r="F3717" s="86" t="s">
        <v>1906</v>
      </c>
      <c r="G3717" s="86" t="s">
        <v>1907</v>
      </c>
    </row>
    <row r="3718" spans="1:11" ht="48">
      <c r="A3718" s="87" t="s">
        <v>1917</v>
      </c>
      <c r="B3718" s="187" t="s">
        <v>2119</v>
      </c>
      <c r="C3718" s="278" t="str">
        <f>IF(B3718="","",IF($A$8="NÃO DESONERADO",(IF(A3718="SINAPI",VLOOKUP(B3718,#REF!,2,0),IF(A3718="SUDECAP",VLOOKUP(B3718,#REF!,3,0),IF(A3718="SETOP",VLOOKUP(B3718,#REF!,2,0),IF(A3718="COTAÇÃO",VLOOKUP(B3718,'Mapa Cotações'!$A:$N,2,0)))))),(IF(A3718="SINAPI",VLOOKUP(B3718,#REF!,2,0),IF(A3718="SUDECAP",VLOOKUP(B3718,#REF!,3,0),IF(A3718="SETOP",VLOOKUP(B3718,#REF!,2,0),IF(A3718="COTAÇÃO",VLOOKUP(B3718,'Mapa Cotações'!$A:$N,2,0))))))))</f>
        <v>REGISTRO PARA CONTROLE DE VAZÃO DE AR COM LÂMINAS CONVERGENTES, MODELO JN-B, ACIONADO POR ATUADOR, COM KIT PARA FIXAÇÃO DO ATUADOR. B=1000,H=675, REF.: TROX OU EQUIVALENTE</v>
      </c>
      <c r="D3718" s="89" t="str">
        <f>IF(B3718="","",IF($A$8="NÃO DESONERADO",(IF(A3718="SINAPI",VLOOKUP(B3718,#REF!,3,0),IF(A3718="SUDECAP",VLOOKUP(B3718,#REF!,4,0),IF(A3718="SETOP",VLOOKUP(B3718,#REF!,3,0),IF(A3718="COTAÇÃO",VLOOKUP(B3718,'Mapa Cotações'!$A:$N,3,0)))))),(IF(A3718="SINAPI",VLOOKUP(B3718,#REF!,3,0),IF(A3718="SUDECAP",VLOOKUP(B3718,#REF!,4,0),IF(A3718="SETOP",VLOOKUP(B3718,#REF!,3,0),IF(A3718="COTAÇÃO",VLOOKUP(B3718,'Mapa Cotações'!$A:$N,3,0))))))))</f>
        <v>UN</v>
      </c>
      <c r="E3718" s="88">
        <v>1</v>
      </c>
      <c r="F3718" s="89">
        <f>IF(B3718="","",IF($A$8="NÃO DESONERADO",(IF(A3718="SINAPI",VLOOKUP(B3718,#REF!,4,0),IF(A3718="SUDECAP",VLOOKUP(B3718,#REF!,5,0),IF(A3718="SETOP",VLOOKUP(B3718,#REF!,4,0),IF(A3718="COTAÇÃO",VLOOKUP(B3718,'Mapa Cotações'!$A:$N,13,0)))))),(IF(A3718="SINAPI",VLOOKUP(B3718,#REF!,4,0),IF(A3718="SUDECAP",VLOOKUP(B3718,#REF!,5,0),IF(A3718="SETOP",VLOOKUP(B3718,#REF!,4,0),IF(A3718="COTAÇÃO",VLOOKUP(B3718,'Mapa Cotações'!$A:$N,13,0))))))))</f>
        <v>3900</v>
      </c>
      <c r="G3718" s="89">
        <f>IF(D3718="","",E3718*F3718)</f>
        <v>3900</v>
      </c>
    </row>
    <row r="3719" spans="1:11">
      <c r="A3719" s="87"/>
      <c r="B3719" s="87"/>
      <c r="C3719" s="278" t="str">
        <f>IF(B3719="","",IF($A$8="NÃO DESONERADO",(IF(A3719="SINAPI",VLOOKUP(B3719,#REF!,2,0),IF(A3719="SUDECAP",VLOOKUP(B3719,#REF!,3,0),IF(A3719="SETOP",VLOOKUP(B3719,#REF!,2,0),IF(A3719="COTAÇÃO",VLOOKUP(B3719,'Mapa Cotações'!$A:$N,2,0)))))),(IF(A3719="SINAPI",VLOOKUP(B3719,#REF!,2,0),IF(A3719="SUDECAP",VLOOKUP(B3719,#REF!,3,0),IF(A3719="SETOP",VLOOKUP(B3719,#REF!,2,0),IF(A3719="COTAÇÃO",VLOOKUP(B3719,'Mapa Cotações'!$A:$N,2,0))))))))</f>
        <v/>
      </c>
      <c r="D3719" s="89" t="str">
        <f>IF(B3719="","",IF($A$8="NÃO DESONERADO",(IF(A3719="SINAPI",VLOOKUP(B3719,#REF!,3,0),IF(A3719="SUDECAP",VLOOKUP(B3719,#REF!,4,0),IF(A3719="SETOP",VLOOKUP(B3719,#REF!,3,0),IF(A3719="COTAÇÃO",VLOOKUP(B3719,'Mapa Cotações'!$A:$N,3,0)))))),(IF(A3719="SINAPI",VLOOKUP(B3719,#REF!,3,0),IF(A3719="SUDECAP",VLOOKUP(B3719,#REF!,4,0),IF(A3719="SETOP",VLOOKUP(B3719,#REF!,3,0),IF(A3719="COTAÇÃO",VLOOKUP(B3719,'Mapa Cotações'!$A:$N,3,0))))))))</f>
        <v/>
      </c>
      <c r="E3719" s="88"/>
      <c r="F3719" s="89" t="str">
        <f>IF(B3719="","",IF($A$8="NÃO DESONERADO",(IF(A3719="SINAPI",VLOOKUP(B3719,#REF!,4,0),IF(A3719="SUDECAP",VLOOKUP(B3719,#REF!,5,0),IF(A3719="SETOP",VLOOKUP(B3719,#REF!,4,0),IF(A3719="COTAÇÃO",VLOOKUP(B3719,'Mapa Cotações'!$A:$N,13,0)))))),(IF(A3719="SINAPI",VLOOKUP(B3719,#REF!,4,0),IF(A3719="SUDECAP",VLOOKUP(B3719,#REF!,5,0),IF(A3719="SETOP",VLOOKUP(B3719,#REF!,4,0),IF(A3719="COTAÇÃO",VLOOKUP(B3719,'Mapa Cotações'!$A:$N,13,0))))))))</f>
        <v/>
      </c>
      <c r="G3719" s="89" t="str">
        <f>IF(D3719="","",E3719*F3719)</f>
        <v/>
      </c>
    </row>
    <row r="3720" spans="1:11">
      <c r="A3720" s="832" t="s">
        <v>1908</v>
      </c>
      <c r="B3720" s="833"/>
      <c r="C3720" s="833"/>
      <c r="D3720" s="833"/>
      <c r="E3720" s="833"/>
      <c r="F3720" s="834"/>
      <c r="G3720" s="90">
        <f>IF(F3718="","",(SUM(G3718:G3719)))</f>
        <v>3900</v>
      </c>
    </row>
    <row r="3721" spans="1:11">
      <c r="A3721" s="91"/>
      <c r="B3721" s="92"/>
      <c r="C3721" s="161"/>
      <c r="D3721" s="93"/>
      <c r="E3721" s="94"/>
      <c r="F3721" s="95"/>
      <c r="G3721" s="96"/>
    </row>
    <row r="3722" spans="1:11">
      <c r="A3722" s="835" t="s">
        <v>1909</v>
      </c>
      <c r="B3722" s="836"/>
      <c r="C3722" s="836"/>
      <c r="D3722" s="836"/>
      <c r="E3722" s="836"/>
      <c r="F3722" s="836"/>
      <c r="G3722" s="837"/>
    </row>
    <row r="3723" spans="1:11">
      <c r="A3723" s="84" t="s">
        <v>1903</v>
      </c>
      <c r="B3723" s="84" t="s">
        <v>131</v>
      </c>
      <c r="C3723" s="160" t="s">
        <v>1904</v>
      </c>
      <c r="D3723" s="84" t="s">
        <v>167</v>
      </c>
      <c r="E3723" s="85" t="s">
        <v>1905</v>
      </c>
      <c r="F3723" s="86" t="s">
        <v>1906</v>
      </c>
      <c r="G3723" s="86" t="s">
        <v>1907</v>
      </c>
    </row>
    <row r="3724" spans="1:11" ht="24">
      <c r="A3724" s="87" t="s">
        <v>2</v>
      </c>
      <c r="B3724" s="87">
        <v>88243</v>
      </c>
      <c r="C3724" s="278" t="s">
        <v>2100</v>
      </c>
      <c r="D3724" s="89" t="s">
        <v>137</v>
      </c>
      <c r="E3724" s="88">
        <f>10*(1*0.675)</f>
        <v>6.75</v>
      </c>
      <c r="F3724" s="89">
        <v>24.36</v>
      </c>
      <c r="G3724" s="89">
        <f>IF(D3724="","",E3724*F3724)</f>
        <v>164.43</v>
      </c>
    </row>
    <row r="3725" spans="1:11" ht="24">
      <c r="A3725" s="87" t="s">
        <v>2</v>
      </c>
      <c r="B3725" s="87">
        <v>100308</v>
      </c>
      <c r="C3725" s="278" t="s">
        <v>1936</v>
      </c>
      <c r="D3725" s="89" t="s">
        <v>137</v>
      </c>
      <c r="E3725" s="88">
        <f>10*(1*0.675)</f>
        <v>6.75</v>
      </c>
      <c r="F3725" s="89">
        <v>25.97</v>
      </c>
      <c r="G3725" s="89">
        <f>IF(D3725="","",E3725*F3725)</f>
        <v>175.29749999999999</v>
      </c>
    </row>
    <row r="3726" spans="1:11">
      <c r="A3726" s="832" t="s">
        <v>1908</v>
      </c>
      <c r="B3726" s="833"/>
      <c r="C3726" s="833"/>
      <c r="D3726" s="833"/>
      <c r="E3726" s="833"/>
      <c r="F3726" s="834"/>
      <c r="G3726" s="90">
        <f>IF(F3724="","",(SUM(G3724:G3725)))</f>
        <v>339.72749999999996</v>
      </c>
    </row>
    <row r="3727" spans="1:11">
      <c r="A3727" s="91"/>
      <c r="B3727" s="92"/>
      <c r="C3727" s="162"/>
      <c r="D3727" s="92"/>
      <c r="E3727" s="97"/>
      <c r="F3727" s="98"/>
      <c r="G3727" s="96"/>
    </row>
    <row r="3728" spans="1:11">
      <c r="A3728" s="835" t="s">
        <v>1912</v>
      </c>
      <c r="B3728" s="836"/>
      <c r="C3728" s="836"/>
      <c r="D3728" s="836"/>
      <c r="E3728" s="836"/>
      <c r="F3728" s="836"/>
      <c r="G3728" s="837"/>
    </row>
    <row r="3729" spans="1:11">
      <c r="A3729" s="84" t="s">
        <v>1903</v>
      </c>
      <c r="B3729" s="84" t="s">
        <v>131</v>
      </c>
      <c r="C3729" s="160" t="s">
        <v>1904</v>
      </c>
      <c r="D3729" s="84" t="s">
        <v>167</v>
      </c>
      <c r="E3729" s="85" t="s">
        <v>1905</v>
      </c>
      <c r="F3729" s="86" t="s">
        <v>1906</v>
      </c>
      <c r="G3729" s="86" t="s">
        <v>1907</v>
      </c>
    </row>
    <row r="3730" spans="1:11">
      <c r="A3730" s="87"/>
      <c r="B3730" s="87"/>
      <c r="C3730" s="278" t="str">
        <f>IF(B3730="","",IF($A$8="NÃO DESONERADO",(IF(A3730="SINAPI",VLOOKUP(B3730,#REF!,2,0),IF(A3730="SUDECAP",VLOOKUP(B3730,#REF!,3,0),IF(A3730="SETOP",VLOOKUP(B3730,#REF!,2,0),IF(A3730="COTAÇÃO",VLOOKUP(B3730,'Mapa Cotações'!$A:$N,2,0)))))),(IF(A3730="SINAPI",VLOOKUP(B3730,#REF!,2,0),IF(A3730="SUDECAP",VLOOKUP(B3730,#REF!,3,0),IF(A3730="SETOP",VLOOKUP(B3730,#REF!,2,0),IF(A3730="COTAÇÃO",VLOOKUP(B3730,'Mapa Cotações'!$A:$N,2,0))))))))</f>
        <v/>
      </c>
      <c r="D3730" s="89" t="str">
        <f>IF(B3730="","",IF($A$8="NÃO DESONERADO",(IF(A3730="SINAPI",VLOOKUP(B3730,#REF!,3,0),IF(A3730="SUDECAP",VLOOKUP(B3730,#REF!,4,0),IF(A3730="SETOP",VLOOKUP(B3730,#REF!,3,0),IF(A3730="COTAÇÃO",VLOOKUP(B3730,'Mapa Cotações'!$A:$N,3,0)))))),(IF(A3730="SINAPI",VLOOKUP(B3730,#REF!,3,0),IF(A3730="SUDECAP",VLOOKUP(B3730,#REF!,4,0),IF(A3730="SETOP",VLOOKUP(B3730,#REF!,3,0),IF(A3730="COTAÇÃO",VLOOKUP(B3730,'Mapa Cotações'!$A:$N,3,0))))))))</f>
        <v/>
      </c>
      <c r="E3730" s="88"/>
      <c r="F3730" s="89" t="str">
        <f>IF(B3730="","",IF($A$8="NÃO DESONERADO",(IF(A3730="SINAPI",VLOOKUP(B3730,#REF!,4,0),IF(A3730="SUDECAP",VLOOKUP(B3730,#REF!,5,0),IF(A3730="SETOP",VLOOKUP(B3730,#REF!,4,0),IF(A3730="COTAÇÃO",VLOOKUP(B3730,'Mapa Cotações'!$A:$N,13,0)))))),(IF(A3730="SINAPI",VLOOKUP(B3730,#REF!,4,0),IF(A3730="SUDECAP",VLOOKUP(B3730,#REF!,5,0),IF(A3730="SETOP",VLOOKUP(B3730,#REF!,4,0),IF(A3730="COTAÇÃO",VLOOKUP(B3730,'Mapa Cotações'!$A:$N,13,0))))))))</f>
        <v/>
      </c>
      <c r="G3730" s="89" t="str">
        <f>IF(D3730="","",E3730*F3730)</f>
        <v/>
      </c>
    </row>
    <row r="3731" spans="1:11">
      <c r="A3731" s="87"/>
      <c r="B3731" s="87"/>
      <c r="C3731" s="278" t="str">
        <f>IF(B3731="","",IF($A$8="NÃO DESONERADO",(IF(A3731="SINAPI",VLOOKUP(B3731,#REF!,2,0),IF(A3731="SUDECAP",VLOOKUP(B3731,#REF!,3,0),IF(A3731="SETOP",VLOOKUP(B3731,#REF!,2,0),IF(A3731="COTAÇÃO",VLOOKUP(B3731,'Mapa Cotações'!$A:$N,2,0)))))),(IF(A3731="SINAPI",VLOOKUP(B3731,#REF!,2,0),IF(A3731="SUDECAP",VLOOKUP(B3731,#REF!,3,0),IF(A3731="SETOP",VLOOKUP(B3731,#REF!,2,0),IF(A3731="COTAÇÃO",VLOOKUP(B3731,'Mapa Cotações'!$A:$N,2,0))))))))</f>
        <v/>
      </c>
      <c r="D3731" s="89" t="str">
        <f>IF(B3731="","",IF($A$8="NÃO DESONERADO",(IF(A3731="SINAPI",VLOOKUP(B3731,#REF!,3,0),IF(A3731="SUDECAP",VLOOKUP(B3731,#REF!,4,0),IF(A3731="SETOP",VLOOKUP(B3731,#REF!,3,0),IF(A3731="COTAÇÃO",VLOOKUP(B3731,'Mapa Cotações'!$A:$N,3,0)))))),(IF(A3731="SINAPI",VLOOKUP(B3731,#REF!,3,0),IF(A3731="SUDECAP",VLOOKUP(B3731,#REF!,4,0),IF(A3731="SETOP",VLOOKUP(B3731,#REF!,3,0),IF(A3731="COTAÇÃO",VLOOKUP(B3731,'Mapa Cotações'!$A:$N,3,0))))))))</f>
        <v/>
      </c>
      <c r="E3731" s="88"/>
      <c r="F3731" s="89" t="str">
        <f>IF(B3731="","",IF($A$8="NÃO DESONERADO",(IF(A3731="SINAPI",VLOOKUP(B3731,#REF!,4,0),IF(A3731="SUDECAP",VLOOKUP(B3731,#REF!,5,0),IF(A3731="SETOP",VLOOKUP(B3731,#REF!,4,0),IF(A3731="COTAÇÃO",VLOOKUP(B3731,'Mapa Cotações'!$A:$N,13,0)))))),(IF(A3731="SINAPI",VLOOKUP(B3731,#REF!,4,0),IF(A3731="SUDECAP",VLOOKUP(B3731,#REF!,5,0),IF(A3731="SETOP",VLOOKUP(B3731,#REF!,4,0),IF(A3731="COTAÇÃO",VLOOKUP(B3731,'Mapa Cotações'!$A:$N,13,0))))))))</f>
        <v/>
      </c>
      <c r="G3731" s="89" t="str">
        <f>IF(D3731="","",E3731*F3731)</f>
        <v/>
      </c>
    </row>
    <row r="3732" spans="1:11">
      <c r="A3732" s="832" t="s">
        <v>1908</v>
      </c>
      <c r="B3732" s="833" t="s">
        <v>1908</v>
      </c>
      <c r="C3732" s="833"/>
      <c r="D3732" s="833"/>
      <c r="E3732" s="833"/>
      <c r="F3732" s="834"/>
      <c r="G3732" s="90" t="str">
        <f>IF(F3730="","",(SUM(G3730:G3731)))</f>
        <v/>
      </c>
    </row>
    <row r="3733" spans="1:11" ht="13.5" thickBot="1">
      <c r="A3733" s="91"/>
      <c r="B3733" s="92"/>
      <c r="C3733" s="163"/>
      <c r="D3733" s="99"/>
      <c r="E3733" s="100"/>
      <c r="F3733" s="101"/>
      <c r="G3733" s="102"/>
    </row>
    <row r="3734" spans="1:11" ht="13.5" thickBot="1">
      <c r="A3734" s="838" t="s">
        <v>1259</v>
      </c>
      <c r="B3734" s="839"/>
      <c r="C3734" s="839"/>
      <c r="D3734" s="839"/>
      <c r="E3734" s="839"/>
      <c r="F3734" s="840"/>
      <c r="G3734" s="103">
        <f>SUM(G3720,G3726,G3732)</f>
        <v>4239.7275</v>
      </c>
    </row>
    <row r="3737" spans="1:11">
      <c r="A3737" s="237" t="s">
        <v>131</v>
      </c>
      <c r="B3737" s="190" t="s">
        <v>27</v>
      </c>
      <c r="C3737" s="841" t="s">
        <v>1281</v>
      </c>
      <c r="D3737" s="841"/>
      <c r="E3737" s="841"/>
      <c r="F3737" s="841"/>
      <c r="G3737" s="81" t="s">
        <v>127</v>
      </c>
      <c r="I3737" s="480" t="s">
        <v>1901</v>
      </c>
      <c r="J3737" s="80"/>
      <c r="K3737" s="80"/>
    </row>
    <row r="3738" spans="1:11" ht="64.5" customHeight="1">
      <c r="A3738" s="179" t="s">
        <v>1084</v>
      </c>
      <c r="B3738" s="82"/>
      <c r="C3738" s="830" t="s">
        <v>1085</v>
      </c>
      <c r="D3738" s="831"/>
      <c r="E3738" s="831"/>
      <c r="F3738" s="186">
        <f>G3757</f>
        <v>3756.683</v>
      </c>
      <c r="G3738" s="83" t="s">
        <v>167</v>
      </c>
      <c r="I3738" s="481"/>
      <c r="J3738" s="272"/>
      <c r="K3738" s="272"/>
    </row>
    <row r="3739" spans="1:11">
      <c r="A3739" s="818" t="s">
        <v>1902</v>
      </c>
      <c r="B3739" s="819"/>
      <c r="C3739" s="819"/>
      <c r="D3739" s="819"/>
      <c r="E3739" s="819"/>
      <c r="F3739" s="819"/>
      <c r="G3739" s="820"/>
    </row>
    <row r="3740" spans="1:11">
      <c r="A3740" s="84" t="s">
        <v>1903</v>
      </c>
      <c r="B3740" s="84" t="s">
        <v>131</v>
      </c>
      <c r="C3740" s="160" t="s">
        <v>1904</v>
      </c>
      <c r="D3740" s="84" t="s">
        <v>167</v>
      </c>
      <c r="E3740" s="85" t="s">
        <v>1905</v>
      </c>
      <c r="F3740" s="86" t="s">
        <v>1906</v>
      </c>
      <c r="G3740" s="86" t="s">
        <v>1907</v>
      </c>
    </row>
    <row r="3741" spans="1:11" ht="48">
      <c r="A3741" s="87" t="s">
        <v>1917</v>
      </c>
      <c r="B3741" s="187" t="s">
        <v>2120</v>
      </c>
      <c r="C3741" s="278" t="str">
        <f>IF(B3741="","",IF($A$8="NÃO DESONERADO",(IF(A3741="SINAPI",VLOOKUP(B3741,#REF!,2,0),IF(A3741="SUDECAP",VLOOKUP(B3741,#REF!,3,0),IF(A3741="SETOP",VLOOKUP(B3741,#REF!,2,0),IF(A3741="COTAÇÃO",VLOOKUP(B3741,'Mapa Cotações'!$A:$N,2,0)))))),(IF(A3741="SINAPI",VLOOKUP(B3741,#REF!,2,0),IF(A3741="SUDECAP",VLOOKUP(B3741,#REF!,3,0),IF(A3741="SETOP",VLOOKUP(B3741,#REF!,2,0),IF(A3741="COTAÇÃO",VLOOKUP(B3741,'Mapa Cotações'!$A:$N,2,0))))))))</f>
        <v>REGISTRO PARA CONTROLE DE VAZÃO DE AR COM LÂMINAS CONVERGENTES, MODELO JN-B, ACIONADO POR ATUADOR, COM KIT PARA FIXAÇÃO DO ATUADOR. B=1000,H=510, REF.: TROX OU EQUIVALENTE</v>
      </c>
      <c r="D3741" s="89" t="str">
        <f>IF(B3741="","",IF($A$8="NÃO DESONERADO",(IF(A3741="SINAPI",VLOOKUP(B3741,#REF!,3,0),IF(A3741="SUDECAP",VLOOKUP(B3741,#REF!,4,0),IF(A3741="SETOP",VLOOKUP(B3741,#REF!,3,0),IF(A3741="COTAÇÃO",VLOOKUP(B3741,'Mapa Cotações'!$A:$N,3,0)))))),(IF(A3741="SINAPI",VLOOKUP(B3741,#REF!,3,0),IF(A3741="SUDECAP",VLOOKUP(B3741,#REF!,4,0),IF(A3741="SETOP",VLOOKUP(B3741,#REF!,3,0),IF(A3741="COTAÇÃO",VLOOKUP(B3741,'Mapa Cotações'!$A:$N,3,0))))))))</f>
        <v>UN</v>
      </c>
      <c r="E3741" s="88">
        <v>1</v>
      </c>
      <c r="F3741" s="89">
        <f>IF(B3741="","",IF($A$8="NÃO DESONERADO",(IF(A3741="SINAPI",VLOOKUP(B3741,#REF!,4,0),IF(A3741="SUDECAP",VLOOKUP(B3741,#REF!,5,0),IF(A3741="SETOP",VLOOKUP(B3741,#REF!,4,0),IF(A3741="COTAÇÃO",VLOOKUP(B3741,'Mapa Cotações'!$A:$N,13,0)))))),(IF(A3741="SINAPI",VLOOKUP(B3741,#REF!,4,0),IF(A3741="SUDECAP",VLOOKUP(B3741,#REF!,5,0),IF(A3741="SETOP",VLOOKUP(B3741,#REF!,4,0),IF(A3741="COTAÇÃO",VLOOKUP(B3741,'Mapa Cotações'!$A:$N,13,0))))))))</f>
        <v>3500</v>
      </c>
      <c r="G3741" s="89">
        <f>IF(D3741="","",E3741*F3741)</f>
        <v>3500</v>
      </c>
    </row>
    <row r="3742" spans="1:11">
      <c r="A3742" s="87"/>
      <c r="B3742" s="87"/>
      <c r="C3742" s="278" t="str">
        <f>IF(B3742="","",IF($A$8="NÃO DESONERADO",(IF(A3742="SINAPI",VLOOKUP(B3742,#REF!,2,0),IF(A3742="SUDECAP",VLOOKUP(B3742,#REF!,3,0),IF(A3742="SETOP",VLOOKUP(B3742,#REF!,2,0),IF(A3742="COTAÇÃO",VLOOKUP(B3742,'Mapa Cotações'!$A:$N,2,0)))))),(IF(A3742="SINAPI",VLOOKUP(B3742,#REF!,2,0),IF(A3742="SUDECAP",VLOOKUP(B3742,#REF!,3,0),IF(A3742="SETOP",VLOOKUP(B3742,#REF!,2,0),IF(A3742="COTAÇÃO",VLOOKUP(B3742,'Mapa Cotações'!$A:$N,2,0))))))))</f>
        <v/>
      </c>
      <c r="D3742" s="89" t="str">
        <f>IF(B3742="","",IF($A$8="NÃO DESONERADO",(IF(A3742="SINAPI",VLOOKUP(B3742,#REF!,3,0),IF(A3742="SUDECAP",VLOOKUP(B3742,#REF!,4,0),IF(A3742="SETOP",VLOOKUP(B3742,#REF!,3,0),IF(A3742="COTAÇÃO",VLOOKUP(B3742,'Mapa Cotações'!$A:$N,3,0)))))),(IF(A3742="SINAPI",VLOOKUP(B3742,#REF!,3,0),IF(A3742="SUDECAP",VLOOKUP(B3742,#REF!,4,0),IF(A3742="SETOP",VLOOKUP(B3742,#REF!,3,0),IF(A3742="COTAÇÃO",VLOOKUP(B3742,'Mapa Cotações'!$A:$N,3,0))))))))</f>
        <v/>
      </c>
      <c r="E3742" s="88"/>
      <c r="F3742" s="89" t="str">
        <f>IF(B3742="","",IF($A$8="NÃO DESONERADO",(IF(A3742="SINAPI",VLOOKUP(B3742,#REF!,4,0),IF(A3742="SUDECAP",VLOOKUP(B3742,#REF!,5,0),IF(A3742="SETOP",VLOOKUP(B3742,#REF!,4,0),IF(A3742="COTAÇÃO",VLOOKUP(B3742,'Mapa Cotações'!$A:$N,13,0)))))),(IF(A3742="SINAPI",VLOOKUP(B3742,#REF!,4,0),IF(A3742="SUDECAP",VLOOKUP(B3742,#REF!,5,0),IF(A3742="SETOP",VLOOKUP(B3742,#REF!,4,0),IF(A3742="COTAÇÃO",VLOOKUP(B3742,'Mapa Cotações'!$A:$N,13,0))))))))</f>
        <v/>
      </c>
      <c r="G3742" s="89" t="str">
        <f>IF(D3742="","",E3742*F3742)</f>
        <v/>
      </c>
    </row>
    <row r="3743" spans="1:11">
      <c r="A3743" s="832" t="s">
        <v>1908</v>
      </c>
      <c r="B3743" s="833"/>
      <c r="C3743" s="833"/>
      <c r="D3743" s="833"/>
      <c r="E3743" s="833"/>
      <c r="F3743" s="834"/>
      <c r="G3743" s="90">
        <f>IF(F3741="","",(SUM(G3741:G3742)))</f>
        <v>3500</v>
      </c>
    </row>
    <row r="3744" spans="1:11">
      <c r="A3744" s="91"/>
      <c r="B3744" s="92"/>
      <c r="C3744" s="161"/>
      <c r="D3744" s="93"/>
      <c r="E3744" s="94"/>
      <c r="F3744" s="95"/>
      <c r="G3744" s="96"/>
    </row>
    <row r="3745" spans="1:11">
      <c r="A3745" s="835" t="s">
        <v>1909</v>
      </c>
      <c r="B3745" s="836"/>
      <c r="C3745" s="836"/>
      <c r="D3745" s="836"/>
      <c r="E3745" s="836"/>
      <c r="F3745" s="836"/>
      <c r="G3745" s="837"/>
    </row>
    <row r="3746" spans="1:11">
      <c r="A3746" s="84" t="s">
        <v>1903</v>
      </c>
      <c r="B3746" s="84" t="s">
        <v>131</v>
      </c>
      <c r="C3746" s="160" t="s">
        <v>1904</v>
      </c>
      <c r="D3746" s="84" t="s">
        <v>167</v>
      </c>
      <c r="E3746" s="85" t="s">
        <v>1905</v>
      </c>
      <c r="F3746" s="86" t="s">
        <v>1906</v>
      </c>
      <c r="G3746" s="86" t="s">
        <v>1907</v>
      </c>
    </row>
    <row r="3747" spans="1:11" ht="24">
      <c r="A3747" s="87" t="s">
        <v>2</v>
      </c>
      <c r="B3747" s="87">
        <v>88243</v>
      </c>
      <c r="C3747" s="278" t="s">
        <v>2100</v>
      </c>
      <c r="D3747" s="89" t="s">
        <v>137</v>
      </c>
      <c r="E3747" s="88">
        <f>10*(1*0.51)</f>
        <v>5.0999999999999996</v>
      </c>
      <c r="F3747" s="89">
        <v>24.36</v>
      </c>
      <c r="G3747" s="89">
        <f>IF(D3747="","",E3747*F3747)</f>
        <v>124.23599999999999</v>
      </c>
    </row>
    <row r="3748" spans="1:11" ht="24">
      <c r="A3748" s="87" t="s">
        <v>2</v>
      </c>
      <c r="B3748" s="87">
        <v>100308</v>
      </c>
      <c r="C3748" s="278" t="s">
        <v>1936</v>
      </c>
      <c r="D3748" s="89" t="s">
        <v>137</v>
      </c>
      <c r="E3748" s="88">
        <f>10*(1*0.51)</f>
        <v>5.0999999999999996</v>
      </c>
      <c r="F3748" s="89">
        <v>25.97</v>
      </c>
      <c r="G3748" s="89">
        <f>IF(D3748="","",E3748*F3748)</f>
        <v>132.44699999999997</v>
      </c>
    </row>
    <row r="3749" spans="1:11">
      <c r="A3749" s="832" t="s">
        <v>1908</v>
      </c>
      <c r="B3749" s="833"/>
      <c r="C3749" s="833"/>
      <c r="D3749" s="833"/>
      <c r="E3749" s="833"/>
      <c r="F3749" s="834"/>
      <c r="G3749" s="90">
        <f>IF(F3747="","",(SUM(G3747:G3748)))</f>
        <v>256.68299999999999</v>
      </c>
    </row>
    <row r="3750" spans="1:11">
      <c r="A3750" s="91"/>
      <c r="B3750" s="92"/>
      <c r="C3750" s="162"/>
      <c r="D3750" s="92"/>
      <c r="E3750" s="97"/>
      <c r="F3750" s="98"/>
      <c r="G3750" s="96"/>
    </row>
    <row r="3751" spans="1:11">
      <c r="A3751" s="835" t="s">
        <v>1912</v>
      </c>
      <c r="B3751" s="836"/>
      <c r="C3751" s="836"/>
      <c r="D3751" s="836"/>
      <c r="E3751" s="836"/>
      <c r="F3751" s="836"/>
      <c r="G3751" s="837"/>
    </row>
    <row r="3752" spans="1:11">
      <c r="A3752" s="84" t="s">
        <v>1903</v>
      </c>
      <c r="B3752" s="84" t="s">
        <v>131</v>
      </c>
      <c r="C3752" s="160" t="s">
        <v>1904</v>
      </c>
      <c r="D3752" s="84" t="s">
        <v>167</v>
      </c>
      <c r="E3752" s="85" t="s">
        <v>1905</v>
      </c>
      <c r="F3752" s="86" t="s">
        <v>1906</v>
      </c>
      <c r="G3752" s="86" t="s">
        <v>1907</v>
      </c>
    </row>
    <row r="3753" spans="1:11">
      <c r="A3753" s="87"/>
      <c r="B3753" s="87"/>
      <c r="C3753" s="278" t="str">
        <f>IF(B3753="","",IF($A$8="NÃO DESONERADO",(IF(A3753="SINAPI",VLOOKUP(B3753,#REF!,2,0),IF(A3753="SUDECAP",VLOOKUP(B3753,#REF!,3,0),IF(A3753="SETOP",VLOOKUP(B3753,#REF!,2,0),IF(A3753="COTAÇÃO",VLOOKUP(B3753,'Mapa Cotações'!$A:$N,2,0)))))),(IF(A3753="SINAPI",VLOOKUP(B3753,#REF!,2,0),IF(A3753="SUDECAP",VLOOKUP(B3753,#REF!,3,0),IF(A3753="SETOP",VLOOKUP(B3753,#REF!,2,0),IF(A3753="COTAÇÃO",VLOOKUP(B3753,'Mapa Cotações'!$A:$N,2,0))))))))</f>
        <v/>
      </c>
      <c r="D3753" s="89" t="str">
        <f>IF(B3753="","",IF($A$8="NÃO DESONERADO",(IF(A3753="SINAPI",VLOOKUP(B3753,#REF!,3,0),IF(A3753="SUDECAP",VLOOKUP(B3753,#REF!,4,0),IF(A3753="SETOP",VLOOKUP(B3753,#REF!,3,0),IF(A3753="COTAÇÃO",VLOOKUP(B3753,'Mapa Cotações'!$A:$N,3,0)))))),(IF(A3753="SINAPI",VLOOKUP(B3753,#REF!,3,0),IF(A3753="SUDECAP",VLOOKUP(B3753,#REF!,4,0),IF(A3753="SETOP",VLOOKUP(B3753,#REF!,3,0),IF(A3753="COTAÇÃO",VLOOKUP(B3753,'Mapa Cotações'!$A:$N,3,0))))))))</f>
        <v/>
      </c>
      <c r="E3753" s="88"/>
      <c r="F3753" s="89" t="str">
        <f>IF(B3753="","",IF($A$8="NÃO DESONERADO",(IF(A3753="SINAPI",VLOOKUP(B3753,#REF!,4,0),IF(A3753="SUDECAP",VLOOKUP(B3753,#REF!,5,0),IF(A3753="SETOP",VLOOKUP(B3753,#REF!,4,0),IF(A3753="COTAÇÃO",VLOOKUP(B3753,'Mapa Cotações'!$A:$N,13,0)))))),(IF(A3753="SINAPI",VLOOKUP(B3753,#REF!,4,0),IF(A3753="SUDECAP",VLOOKUP(B3753,#REF!,5,0),IF(A3753="SETOP",VLOOKUP(B3753,#REF!,4,0),IF(A3753="COTAÇÃO",VLOOKUP(B3753,'Mapa Cotações'!$A:$N,13,0))))))))</f>
        <v/>
      </c>
      <c r="G3753" s="89" t="str">
        <f>IF(D3753="","",E3753*F3753)</f>
        <v/>
      </c>
    </row>
    <row r="3754" spans="1:11">
      <c r="A3754" s="87"/>
      <c r="B3754" s="87"/>
      <c r="C3754" s="278" t="str">
        <f>IF(B3754="","",IF($A$8="NÃO DESONERADO",(IF(A3754="SINAPI",VLOOKUP(B3754,#REF!,2,0),IF(A3754="SUDECAP",VLOOKUP(B3754,#REF!,3,0),IF(A3754="SETOP",VLOOKUP(B3754,#REF!,2,0),IF(A3754="COTAÇÃO",VLOOKUP(B3754,'Mapa Cotações'!$A:$N,2,0)))))),(IF(A3754="SINAPI",VLOOKUP(B3754,#REF!,2,0),IF(A3754="SUDECAP",VLOOKUP(B3754,#REF!,3,0),IF(A3754="SETOP",VLOOKUP(B3754,#REF!,2,0),IF(A3754="COTAÇÃO",VLOOKUP(B3754,'Mapa Cotações'!$A:$N,2,0))))))))</f>
        <v/>
      </c>
      <c r="D3754" s="89" t="str">
        <f>IF(B3754="","",IF($A$8="NÃO DESONERADO",(IF(A3754="SINAPI",VLOOKUP(B3754,#REF!,3,0),IF(A3754="SUDECAP",VLOOKUP(B3754,#REF!,4,0),IF(A3754="SETOP",VLOOKUP(B3754,#REF!,3,0),IF(A3754="COTAÇÃO",VLOOKUP(B3754,'Mapa Cotações'!$A:$N,3,0)))))),(IF(A3754="SINAPI",VLOOKUP(B3754,#REF!,3,0),IF(A3754="SUDECAP",VLOOKUP(B3754,#REF!,4,0),IF(A3754="SETOP",VLOOKUP(B3754,#REF!,3,0),IF(A3754="COTAÇÃO",VLOOKUP(B3754,'Mapa Cotações'!$A:$N,3,0))))))))</f>
        <v/>
      </c>
      <c r="E3754" s="88"/>
      <c r="F3754" s="89" t="str">
        <f>IF(B3754="","",IF($A$8="NÃO DESONERADO",(IF(A3754="SINAPI",VLOOKUP(B3754,#REF!,4,0),IF(A3754="SUDECAP",VLOOKUP(B3754,#REF!,5,0),IF(A3754="SETOP",VLOOKUP(B3754,#REF!,4,0),IF(A3754="COTAÇÃO",VLOOKUP(B3754,'Mapa Cotações'!$A:$N,13,0)))))),(IF(A3754="SINAPI",VLOOKUP(B3754,#REF!,4,0),IF(A3754="SUDECAP",VLOOKUP(B3754,#REF!,5,0),IF(A3754="SETOP",VLOOKUP(B3754,#REF!,4,0),IF(A3754="COTAÇÃO",VLOOKUP(B3754,'Mapa Cotações'!$A:$N,13,0))))))))</f>
        <v/>
      </c>
      <c r="G3754" s="89" t="str">
        <f>IF(D3754="","",E3754*F3754)</f>
        <v/>
      </c>
    </row>
    <row r="3755" spans="1:11">
      <c r="A3755" s="832" t="s">
        <v>1908</v>
      </c>
      <c r="B3755" s="833" t="s">
        <v>1908</v>
      </c>
      <c r="C3755" s="833"/>
      <c r="D3755" s="833"/>
      <c r="E3755" s="833"/>
      <c r="F3755" s="834"/>
      <c r="G3755" s="90" t="str">
        <f>IF(F3753="","",(SUM(G3753:G3754)))</f>
        <v/>
      </c>
    </row>
    <row r="3756" spans="1:11" ht="13.5" thickBot="1">
      <c r="A3756" s="91"/>
      <c r="B3756" s="92"/>
      <c r="C3756" s="163"/>
      <c r="D3756" s="99"/>
      <c r="E3756" s="100"/>
      <c r="F3756" s="101"/>
      <c r="G3756" s="102"/>
    </row>
    <row r="3757" spans="1:11" ht="13.5" thickBot="1">
      <c r="A3757" s="838" t="s">
        <v>1259</v>
      </c>
      <c r="B3757" s="839"/>
      <c r="C3757" s="839"/>
      <c r="D3757" s="839"/>
      <c r="E3757" s="839"/>
      <c r="F3757" s="840"/>
      <c r="G3757" s="103">
        <f>SUM(G3743,G3749,G3755)</f>
        <v>3756.683</v>
      </c>
    </row>
    <row r="3760" spans="1:11">
      <c r="A3760" s="237" t="s">
        <v>131</v>
      </c>
      <c r="B3760" s="190" t="s">
        <v>27</v>
      </c>
      <c r="C3760" s="841" t="s">
        <v>1281</v>
      </c>
      <c r="D3760" s="841"/>
      <c r="E3760" s="841"/>
      <c r="F3760" s="841"/>
      <c r="G3760" s="81" t="s">
        <v>127</v>
      </c>
      <c r="I3760" s="480" t="s">
        <v>1901</v>
      </c>
      <c r="J3760" s="80"/>
      <c r="K3760" s="80"/>
    </row>
    <row r="3761" spans="1:11" ht="64.5" customHeight="1">
      <c r="A3761" s="179" t="s">
        <v>1087</v>
      </c>
      <c r="B3761" s="82"/>
      <c r="C3761" s="830" t="s">
        <v>1088</v>
      </c>
      <c r="D3761" s="831"/>
      <c r="E3761" s="831"/>
      <c r="F3761" s="186">
        <f>G3780</f>
        <v>3002.6732000000002</v>
      </c>
      <c r="G3761" s="83" t="s">
        <v>167</v>
      </c>
      <c r="I3761" s="481"/>
      <c r="J3761" s="272"/>
      <c r="K3761" s="272"/>
    </row>
    <row r="3762" spans="1:11">
      <c r="A3762" s="818" t="s">
        <v>1902</v>
      </c>
      <c r="B3762" s="819"/>
      <c r="C3762" s="819"/>
      <c r="D3762" s="819"/>
      <c r="E3762" s="819"/>
      <c r="F3762" s="819"/>
      <c r="G3762" s="820"/>
    </row>
    <row r="3763" spans="1:11">
      <c r="A3763" s="84" t="s">
        <v>1903</v>
      </c>
      <c r="B3763" s="84" t="s">
        <v>131</v>
      </c>
      <c r="C3763" s="160" t="s">
        <v>1904</v>
      </c>
      <c r="D3763" s="84" t="s">
        <v>167</v>
      </c>
      <c r="E3763" s="85" t="s">
        <v>1905</v>
      </c>
      <c r="F3763" s="86" t="s">
        <v>1906</v>
      </c>
      <c r="G3763" s="86" t="s">
        <v>1907</v>
      </c>
    </row>
    <row r="3764" spans="1:11" ht="48">
      <c r="A3764" s="87" t="s">
        <v>1917</v>
      </c>
      <c r="B3764" s="187" t="s">
        <v>2121</v>
      </c>
      <c r="C3764" s="278" t="str">
        <f>IF(B3764="","",IF($A$8="NÃO DESONERADO",(IF(A3764="SINAPI",VLOOKUP(B3764,#REF!,2,0),IF(A3764="SUDECAP",VLOOKUP(B3764,#REF!,3,0),IF(A3764="SETOP",VLOOKUP(B3764,#REF!,2,0),IF(A3764="COTAÇÃO",VLOOKUP(B3764,'Mapa Cotações'!$A:$N,2,0)))))),(IF(A3764="SINAPI",VLOOKUP(B3764,#REF!,2,0),IF(A3764="SUDECAP",VLOOKUP(B3764,#REF!,3,0),IF(A3764="SETOP",VLOOKUP(B3764,#REF!,2,0),IF(A3764="COTAÇÃO",VLOOKUP(B3764,'Mapa Cotações'!$A:$N,2,0))))))))</f>
        <v>REGISTRO PARA CONTROLE DE VAZÃO DE AR COM LÂMINAS CONVERGENTES, MODELO JN-B, ACIONADO POR ATUADOR, COM KIT PARA FIXAÇÃO DO ATUADOR. B=400,H=510, REF.: TROX OU EQUIVALENTE</v>
      </c>
      <c r="D3764" s="89" t="str">
        <f>IF(B3764="","",IF($A$8="NÃO DESONERADO",(IF(A3764="SINAPI",VLOOKUP(B3764,#REF!,3,0),IF(A3764="SUDECAP",VLOOKUP(B3764,#REF!,4,0),IF(A3764="SETOP",VLOOKUP(B3764,#REF!,3,0),IF(A3764="COTAÇÃO",VLOOKUP(B3764,'Mapa Cotações'!$A:$N,3,0)))))),(IF(A3764="SINAPI",VLOOKUP(B3764,#REF!,3,0),IF(A3764="SUDECAP",VLOOKUP(B3764,#REF!,4,0),IF(A3764="SETOP",VLOOKUP(B3764,#REF!,3,0),IF(A3764="COTAÇÃO",VLOOKUP(B3764,'Mapa Cotações'!$A:$N,3,0))))))))</f>
        <v>UN</v>
      </c>
      <c r="E3764" s="88">
        <v>1</v>
      </c>
      <c r="F3764" s="89">
        <f>IF(B3764="","",IF($A$8="NÃO DESONERADO",(IF(A3764="SINAPI",VLOOKUP(B3764,#REF!,4,0),IF(A3764="SUDECAP",VLOOKUP(B3764,#REF!,5,0),IF(A3764="SETOP",VLOOKUP(B3764,#REF!,4,0),IF(A3764="COTAÇÃO",VLOOKUP(B3764,'Mapa Cotações'!$A:$N,13,0)))))),(IF(A3764="SINAPI",VLOOKUP(B3764,#REF!,4,0),IF(A3764="SUDECAP",VLOOKUP(B3764,#REF!,5,0),IF(A3764="SETOP",VLOOKUP(B3764,#REF!,4,0),IF(A3764="COTAÇÃO",VLOOKUP(B3764,'Mapa Cotações'!$A:$N,13,0))))))))</f>
        <v>2900</v>
      </c>
      <c r="G3764" s="89">
        <f>IF(D3764="","",E3764*F3764)</f>
        <v>2900</v>
      </c>
    </row>
    <row r="3765" spans="1:11">
      <c r="A3765" s="87"/>
      <c r="B3765" s="87"/>
      <c r="C3765" s="278" t="str">
        <f>IF(B3765="","",IF($A$8="NÃO DESONERADO",(IF(A3765="SINAPI",VLOOKUP(B3765,#REF!,2,0),IF(A3765="SUDECAP",VLOOKUP(B3765,#REF!,3,0),IF(A3765="SETOP",VLOOKUP(B3765,#REF!,2,0),IF(A3765="COTAÇÃO",VLOOKUP(B3765,'Mapa Cotações'!$A:$N,2,0)))))),(IF(A3765="SINAPI",VLOOKUP(B3765,#REF!,2,0),IF(A3765="SUDECAP",VLOOKUP(B3765,#REF!,3,0),IF(A3765="SETOP",VLOOKUP(B3765,#REF!,2,0),IF(A3765="COTAÇÃO",VLOOKUP(B3765,'Mapa Cotações'!$A:$N,2,0))))))))</f>
        <v/>
      </c>
      <c r="D3765" s="89" t="str">
        <f>IF(B3765="","",IF($A$8="NÃO DESONERADO",(IF(A3765="SINAPI",VLOOKUP(B3765,#REF!,3,0),IF(A3765="SUDECAP",VLOOKUP(B3765,#REF!,4,0),IF(A3765="SETOP",VLOOKUP(B3765,#REF!,3,0),IF(A3765="COTAÇÃO",VLOOKUP(B3765,'Mapa Cotações'!$A:$N,3,0)))))),(IF(A3765="SINAPI",VLOOKUP(B3765,#REF!,3,0),IF(A3765="SUDECAP",VLOOKUP(B3765,#REF!,4,0),IF(A3765="SETOP",VLOOKUP(B3765,#REF!,3,0),IF(A3765="COTAÇÃO",VLOOKUP(B3765,'Mapa Cotações'!$A:$N,3,0))))))))</f>
        <v/>
      </c>
      <c r="E3765" s="88"/>
      <c r="F3765" s="89" t="str">
        <f>IF(B3765="","",IF($A$8="NÃO DESONERADO",(IF(A3765="SINAPI",VLOOKUP(B3765,#REF!,4,0),IF(A3765="SUDECAP",VLOOKUP(B3765,#REF!,5,0),IF(A3765="SETOP",VLOOKUP(B3765,#REF!,4,0),IF(A3765="COTAÇÃO",VLOOKUP(B3765,'Mapa Cotações'!$A:$N,13,0)))))),(IF(A3765="SINAPI",VLOOKUP(B3765,#REF!,4,0),IF(A3765="SUDECAP",VLOOKUP(B3765,#REF!,5,0),IF(A3765="SETOP",VLOOKUP(B3765,#REF!,4,0),IF(A3765="COTAÇÃO",VLOOKUP(B3765,'Mapa Cotações'!$A:$N,13,0))))))))</f>
        <v/>
      </c>
      <c r="G3765" s="89" t="str">
        <f>IF(D3765="","",E3765*F3765)</f>
        <v/>
      </c>
    </row>
    <row r="3766" spans="1:11">
      <c r="A3766" s="832" t="s">
        <v>1908</v>
      </c>
      <c r="B3766" s="833"/>
      <c r="C3766" s="833"/>
      <c r="D3766" s="833"/>
      <c r="E3766" s="833"/>
      <c r="F3766" s="834"/>
      <c r="G3766" s="90">
        <f>IF(F3764="","",(SUM(G3764:G3765)))</f>
        <v>2900</v>
      </c>
    </row>
    <row r="3767" spans="1:11">
      <c r="A3767" s="91"/>
      <c r="B3767" s="92"/>
      <c r="C3767" s="161"/>
      <c r="D3767" s="93"/>
      <c r="E3767" s="94"/>
      <c r="F3767" s="95"/>
      <c r="G3767" s="96"/>
    </row>
    <row r="3768" spans="1:11">
      <c r="A3768" s="835" t="s">
        <v>1909</v>
      </c>
      <c r="B3768" s="836"/>
      <c r="C3768" s="836"/>
      <c r="D3768" s="836"/>
      <c r="E3768" s="836"/>
      <c r="F3768" s="836"/>
      <c r="G3768" s="837"/>
    </row>
    <row r="3769" spans="1:11">
      <c r="A3769" s="84" t="s">
        <v>1903</v>
      </c>
      <c r="B3769" s="84" t="s">
        <v>131</v>
      </c>
      <c r="C3769" s="160" t="s">
        <v>1904</v>
      </c>
      <c r="D3769" s="84" t="s">
        <v>167</v>
      </c>
      <c r="E3769" s="85" t="s">
        <v>1905</v>
      </c>
      <c r="F3769" s="86" t="s">
        <v>1906</v>
      </c>
      <c r="G3769" s="86" t="s">
        <v>1907</v>
      </c>
    </row>
    <row r="3770" spans="1:11" ht="24">
      <c r="A3770" s="87" t="s">
        <v>2</v>
      </c>
      <c r="B3770" s="87">
        <v>88243</v>
      </c>
      <c r="C3770" s="278" t="s">
        <v>2100</v>
      </c>
      <c r="D3770" s="89" t="s">
        <v>137</v>
      </c>
      <c r="E3770" s="88">
        <f>10*(0.4*0.51)</f>
        <v>2.04</v>
      </c>
      <c r="F3770" s="89">
        <v>24.36</v>
      </c>
      <c r="G3770" s="89">
        <f>IF(D3770="","",E3770*F3770)</f>
        <v>49.694400000000002</v>
      </c>
    </row>
    <row r="3771" spans="1:11" ht="24">
      <c r="A3771" s="87" t="s">
        <v>2</v>
      </c>
      <c r="B3771" s="87">
        <v>100308</v>
      </c>
      <c r="C3771" s="278" t="s">
        <v>1936</v>
      </c>
      <c r="D3771" s="89" t="s">
        <v>137</v>
      </c>
      <c r="E3771" s="88">
        <f>10*(0.4*0.51)</f>
        <v>2.04</v>
      </c>
      <c r="F3771" s="89">
        <v>25.97</v>
      </c>
      <c r="G3771" s="89">
        <f>IF(D3771="","",E3771*F3771)</f>
        <v>52.9788</v>
      </c>
    </row>
    <row r="3772" spans="1:11">
      <c r="A3772" s="832" t="s">
        <v>1908</v>
      </c>
      <c r="B3772" s="833"/>
      <c r="C3772" s="833"/>
      <c r="D3772" s="833"/>
      <c r="E3772" s="833"/>
      <c r="F3772" s="834"/>
      <c r="G3772" s="90">
        <f>IF(F3770="","",(SUM(G3770:G3771)))</f>
        <v>102.67320000000001</v>
      </c>
    </row>
    <row r="3773" spans="1:11">
      <c r="A3773" s="91"/>
      <c r="B3773" s="92"/>
      <c r="C3773" s="162"/>
      <c r="D3773" s="92"/>
      <c r="E3773" s="97"/>
      <c r="F3773" s="98"/>
      <c r="G3773" s="96"/>
    </row>
    <row r="3774" spans="1:11">
      <c r="A3774" s="835" t="s">
        <v>1912</v>
      </c>
      <c r="B3774" s="836"/>
      <c r="C3774" s="836"/>
      <c r="D3774" s="836"/>
      <c r="E3774" s="836"/>
      <c r="F3774" s="836"/>
      <c r="G3774" s="837"/>
    </row>
    <row r="3775" spans="1:11">
      <c r="A3775" s="84" t="s">
        <v>1903</v>
      </c>
      <c r="B3775" s="84" t="s">
        <v>131</v>
      </c>
      <c r="C3775" s="160" t="s">
        <v>1904</v>
      </c>
      <c r="D3775" s="84" t="s">
        <v>167</v>
      </c>
      <c r="E3775" s="85" t="s">
        <v>1905</v>
      </c>
      <c r="F3775" s="86" t="s">
        <v>1906</v>
      </c>
      <c r="G3775" s="86" t="s">
        <v>1907</v>
      </c>
    </row>
    <row r="3776" spans="1:11">
      <c r="A3776" s="87"/>
      <c r="B3776" s="87"/>
      <c r="C3776" s="278" t="str">
        <f>IF(B3776="","",IF($A$8="NÃO DESONERADO",(IF(A3776="SINAPI",VLOOKUP(B3776,#REF!,2,0),IF(A3776="SUDECAP",VLOOKUP(B3776,#REF!,3,0),IF(A3776="SETOP",VLOOKUP(B3776,#REF!,2,0),IF(A3776="COTAÇÃO",VLOOKUP(B3776,'Mapa Cotações'!$A:$N,2,0)))))),(IF(A3776="SINAPI",VLOOKUP(B3776,#REF!,2,0),IF(A3776="SUDECAP",VLOOKUP(B3776,#REF!,3,0),IF(A3776="SETOP",VLOOKUP(B3776,#REF!,2,0),IF(A3776="COTAÇÃO",VLOOKUP(B3776,'Mapa Cotações'!$A:$N,2,0))))))))</f>
        <v/>
      </c>
      <c r="D3776" s="89" t="str">
        <f>IF(B3776="","",IF($A$8="NÃO DESONERADO",(IF(A3776="SINAPI",VLOOKUP(B3776,#REF!,3,0),IF(A3776="SUDECAP",VLOOKUP(B3776,#REF!,4,0),IF(A3776="SETOP",VLOOKUP(B3776,#REF!,3,0),IF(A3776="COTAÇÃO",VLOOKUP(B3776,'Mapa Cotações'!$A:$N,3,0)))))),(IF(A3776="SINAPI",VLOOKUP(B3776,#REF!,3,0),IF(A3776="SUDECAP",VLOOKUP(B3776,#REF!,4,0),IF(A3776="SETOP",VLOOKUP(B3776,#REF!,3,0),IF(A3776="COTAÇÃO",VLOOKUP(B3776,'Mapa Cotações'!$A:$N,3,0))))))))</f>
        <v/>
      </c>
      <c r="E3776" s="88"/>
      <c r="F3776" s="89" t="str">
        <f>IF(B3776="","",IF($A$8="NÃO DESONERADO",(IF(A3776="SINAPI",VLOOKUP(B3776,#REF!,4,0),IF(A3776="SUDECAP",VLOOKUP(B3776,#REF!,5,0),IF(A3776="SETOP",VLOOKUP(B3776,#REF!,4,0),IF(A3776="COTAÇÃO",VLOOKUP(B3776,'Mapa Cotações'!$A:$N,13,0)))))),(IF(A3776="SINAPI",VLOOKUP(B3776,#REF!,4,0),IF(A3776="SUDECAP",VLOOKUP(B3776,#REF!,5,0),IF(A3776="SETOP",VLOOKUP(B3776,#REF!,4,0),IF(A3776="COTAÇÃO",VLOOKUP(B3776,'Mapa Cotações'!$A:$N,13,0))))))))</f>
        <v/>
      </c>
      <c r="G3776" s="89" t="str">
        <f>IF(D3776="","",E3776*F3776)</f>
        <v/>
      </c>
    </row>
    <row r="3777" spans="1:11">
      <c r="A3777" s="87"/>
      <c r="B3777" s="87"/>
      <c r="C3777" s="278" t="str">
        <f>IF(B3777="","",IF($A$8="NÃO DESONERADO",(IF(A3777="SINAPI",VLOOKUP(B3777,#REF!,2,0),IF(A3777="SUDECAP",VLOOKUP(B3777,#REF!,3,0),IF(A3777="SETOP",VLOOKUP(B3777,#REF!,2,0),IF(A3777="COTAÇÃO",VLOOKUP(B3777,'Mapa Cotações'!$A:$N,2,0)))))),(IF(A3777="SINAPI",VLOOKUP(B3777,#REF!,2,0),IF(A3777="SUDECAP",VLOOKUP(B3777,#REF!,3,0),IF(A3777="SETOP",VLOOKUP(B3777,#REF!,2,0),IF(A3777="COTAÇÃO",VLOOKUP(B3777,'Mapa Cotações'!$A:$N,2,0))))))))</f>
        <v/>
      </c>
      <c r="D3777" s="89" t="str">
        <f>IF(B3777="","",IF($A$8="NÃO DESONERADO",(IF(A3777="SINAPI",VLOOKUP(B3777,#REF!,3,0),IF(A3777="SUDECAP",VLOOKUP(B3777,#REF!,4,0),IF(A3777="SETOP",VLOOKUP(B3777,#REF!,3,0),IF(A3777="COTAÇÃO",VLOOKUP(B3777,'Mapa Cotações'!$A:$N,3,0)))))),(IF(A3777="SINAPI",VLOOKUP(B3777,#REF!,3,0),IF(A3777="SUDECAP",VLOOKUP(B3777,#REF!,4,0),IF(A3777="SETOP",VLOOKUP(B3777,#REF!,3,0),IF(A3777="COTAÇÃO",VLOOKUP(B3777,'Mapa Cotações'!$A:$N,3,0))))))))</f>
        <v/>
      </c>
      <c r="E3777" s="88"/>
      <c r="F3777" s="89" t="str">
        <f>IF(B3777="","",IF($A$8="NÃO DESONERADO",(IF(A3777="SINAPI",VLOOKUP(B3777,#REF!,4,0),IF(A3777="SUDECAP",VLOOKUP(B3777,#REF!,5,0),IF(A3777="SETOP",VLOOKUP(B3777,#REF!,4,0),IF(A3777="COTAÇÃO",VLOOKUP(B3777,'Mapa Cotações'!$A:$N,13,0)))))),(IF(A3777="SINAPI",VLOOKUP(B3777,#REF!,4,0),IF(A3777="SUDECAP",VLOOKUP(B3777,#REF!,5,0),IF(A3777="SETOP",VLOOKUP(B3777,#REF!,4,0),IF(A3777="COTAÇÃO",VLOOKUP(B3777,'Mapa Cotações'!$A:$N,13,0))))))))</f>
        <v/>
      </c>
      <c r="G3777" s="89" t="str">
        <f>IF(D3777="","",E3777*F3777)</f>
        <v/>
      </c>
    </row>
    <row r="3778" spans="1:11">
      <c r="A3778" s="832" t="s">
        <v>1908</v>
      </c>
      <c r="B3778" s="833" t="s">
        <v>1908</v>
      </c>
      <c r="C3778" s="833"/>
      <c r="D3778" s="833"/>
      <c r="E3778" s="833"/>
      <c r="F3778" s="834"/>
      <c r="G3778" s="90" t="str">
        <f>IF(F3776="","",(SUM(G3776:G3777)))</f>
        <v/>
      </c>
    </row>
    <row r="3779" spans="1:11" ht="13.5" thickBot="1">
      <c r="A3779" s="91"/>
      <c r="B3779" s="92"/>
      <c r="C3779" s="163"/>
      <c r="D3779" s="99"/>
      <c r="E3779" s="100"/>
      <c r="F3779" s="101"/>
      <c r="G3779" s="102"/>
    </row>
    <row r="3780" spans="1:11" ht="13.5" thickBot="1">
      <c r="A3780" s="838" t="s">
        <v>1259</v>
      </c>
      <c r="B3780" s="839"/>
      <c r="C3780" s="839"/>
      <c r="D3780" s="839"/>
      <c r="E3780" s="839"/>
      <c r="F3780" s="840"/>
      <c r="G3780" s="103">
        <f>SUM(G3766,G3772,G3778)</f>
        <v>3002.6732000000002</v>
      </c>
    </row>
    <row r="3783" spans="1:11">
      <c r="A3783" s="237" t="s">
        <v>131</v>
      </c>
      <c r="B3783" s="190" t="s">
        <v>27</v>
      </c>
      <c r="C3783" s="841" t="s">
        <v>1281</v>
      </c>
      <c r="D3783" s="841"/>
      <c r="E3783" s="841"/>
      <c r="F3783" s="841"/>
      <c r="G3783" s="81" t="s">
        <v>127</v>
      </c>
      <c r="I3783" s="480" t="s">
        <v>1901</v>
      </c>
      <c r="J3783" s="80"/>
      <c r="K3783" s="80"/>
    </row>
    <row r="3784" spans="1:11" ht="50.1" customHeight="1">
      <c r="A3784" s="82" t="s">
        <v>1092</v>
      </c>
      <c r="B3784" s="82"/>
      <c r="C3784" s="830" t="s">
        <v>1093</v>
      </c>
      <c r="D3784" s="831"/>
      <c r="E3784" s="831"/>
      <c r="F3784" s="186">
        <f>G3803</f>
        <v>64.569000000000003</v>
      </c>
      <c r="G3784" s="83" t="s">
        <v>167</v>
      </c>
      <c r="I3784" s="481"/>
      <c r="J3784" s="272"/>
      <c r="K3784" s="272"/>
    </row>
    <row r="3785" spans="1:11">
      <c r="A3785" s="818" t="s">
        <v>1902</v>
      </c>
      <c r="B3785" s="819"/>
      <c r="C3785" s="819"/>
      <c r="D3785" s="819"/>
      <c r="E3785" s="819"/>
      <c r="F3785" s="819"/>
      <c r="G3785" s="820"/>
    </row>
    <row r="3786" spans="1:11">
      <c r="A3786" s="84" t="s">
        <v>1903</v>
      </c>
      <c r="B3786" s="84" t="s">
        <v>131</v>
      </c>
      <c r="C3786" s="160" t="s">
        <v>1904</v>
      </c>
      <c r="D3786" s="84" t="s">
        <v>167</v>
      </c>
      <c r="E3786" s="85" t="s">
        <v>1905</v>
      </c>
      <c r="F3786" s="86" t="s">
        <v>1906</v>
      </c>
      <c r="G3786" s="86" t="s">
        <v>1907</v>
      </c>
    </row>
    <row r="3787" spans="1:11" ht="36">
      <c r="A3787" s="87" t="s">
        <v>1917</v>
      </c>
      <c r="B3787" s="187" t="s">
        <v>2122</v>
      </c>
      <c r="C3787" s="278" t="str">
        <f>IF(B3787="","",IF($A$8="NÃO DESONERADO",(IF(A3787="SINAPI",VLOOKUP(B3787,#REF!,2,0),IF(A3787="SUDECAP",VLOOKUP(B3787,#REF!,3,0),IF(A3787="SETOP",VLOOKUP(B3787,#REF!,2,0),IF(A3787="COTAÇÃO",VLOOKUP(B3787,'Mapa Cotações'!$A:$N,2,0)))))),(IF(A3787="SINAPI",VLOOKUP(B3787,#REF!,2,0),IF(A3787="SUDECAP",VLOOKUP(B3787,#REF!,3,0),IF(A3787="SETOP",VLOOKUP(B3787,#REF!,2,0),IF(A3787="COTAÇÃO",VLOOKUP(B3787,'Mapa Cotações'!$A:$N,2,0))))))))</f>
        <v>COLARINHO EM CHAPA GALVANIZADA, PARA INTERLIGAR DUTO FLEXÍVEL AO DUTO PRINCIPAL, COM REGISTRO, Φ = 10", REF.: MULTIVAC OU EQUIVALENTE</v>
      </c>
      <c r="D3787" s="89" t="str">
        <f>IF(B3787="","",IF($A$8="NÃO DESONERADO",(IF(A3787="SINAPI",VLOOKUP(B3787,#REF!,3,0),IF(A3787="SUDECAP",VLOOKUP(B3787,#REF!,4,0),IF(A3787="SETOP",VLOOKUP(B3787,#REF!,3,0),IF(A3787="COTAÇÃO",VLOOKUP(B3787,'Mapa Cotações'!$A:$N,3,0)))))),(IF(A3787="SINAPI",VLOOKUP(B3787,#REF!,3,0),IF(A3787="SUDECAP",VLOOKUP(B3787,#REF!,4,0),IF(A3787="SETOP",VLOOKUP(B3787,#REF!,3,0),IF(A3787="COTAÇÃO",VLOOKUP(B3787,'Mapa Cotações'!$A:$N,3,0))))))))</f>
        <v>UN</v>
      </c>
      <c r="E3787" s="88">
        <v>1</v>
      </c>
      <c r="F3787" s="89">
        <f>IF(B3787="","",IF($A$8="NÃO DESONERADO",(IF(A3787="SINAPI",VLOOKUP(B3787,#REF!,4,0),IF(A3787="SUDECAP",VLOOKUP(B3787,#REF!,5,0),IF(A3787="SETOP",VLOOKUP(B3787,#REF!,4,0),IF(A3787="COTAÇÃO",VLOOKUP(B3787,'Mapa Cotações'!$A:$N,13,0)))))),(IF(A3787="SINAPI",VLOOKUP(B3787,#REF!,4,0),IF(A3787="SUDECAP",VLOOKUP(B3787,#REF!,5,0),IF(A3787="SETOP",VLOOKUP(B3787,#REF!,4,0),IF(A3787="COTAÇÃO",VLOOKUP(B3787,'Mapa Cotações'!$A:$N,13,0))))))))</f>
        <v>49.47</v>
      </c>
      <c r="G3787" s="89">
        <f>IF(D3787="","",E3787*F3787)</f>
        <v>49.47</v>
      </c>
    </row>
    <row r="3788" spans="1:11">
      <c r="A3788" s="87"/>
      <c r="B3788" s="87"/>
      <c r="C3788" s="278" t="str">
        <f>IF(B3788="","",IF($A$8="NÃO DESONERADO",(IF(A3788="SINAPI",VLOOKUP(B3788,#REF!,2,0),IF(A3788="SUDECAP",VLOOKUP(B3788,#REF!,3,0),IF(A3788="SETOP",VLOOKUP(B3788,#REF!,2,0),IF(A3788="COTAÇÃO",VLOOKUP(B3788,'Mapa Cotações'!$A:$N,2,0)))))),(IF(A3788="SINAPI",VLOOKUP(B3788,#REF!,2,0),IF(A3788="SUDECAP",VLOOKUP(B3788,#REF!,3,0),IF(A3788="SETOP",VLOOKUP(B3788,#REF!,2,0),IF(A3788="COTAÇÃO",VLOOKUP(B3788,'Mapa Cotações'!$A:$N,2,0))))))))</f>
        <v/>
      </c>
      <c r="D3788" s="89" t="str">
        <f>IF(B3788="","",IF($A$8="NÃO DESONERADO",(IF(A3788="SINAPI",VLOOKUP(B3788,#REF!,3,0),IF(A3788="SUDECAP",VLOOKUP(B3788,#REF!,4,0),IF(A3788="SETOP",VLOOKUP(B3788,#REF!,3,0),IF(A3788="COTAÇÃO",VLOOKUP(B3788,'Mapa Cotações'!$A:$N,3,0)))))),(IF(A3788="SINAPI",VLOOKUP(B3788,#REF!,3,0),IF(A3788="SUDECAP",VLOOKUP(B3788,#REF!,4,0),IF(A3788="SETOP",VLOOKUP(B3788,#REF!,3,0),IF(A3788="COTAÇÃO",VLOOKUP(B3788,'Mapa Cotações'!$A:$N,3,0))))))))</f>
        <v/>
      </c>
      <c r="E3788" s="88"/>
      <c r="F3788" s="89" t="str">
        <f>IF(B3788="","",IF($A$8="NÃO DESONERADO",(IF(A3788="SINAPI",VLOOKUP(B3788,#REF!,4,0),IF(A3788="SUDECAP",VLOOKUP(B3788,#REF!,5,0),IF(A3788="SETOP",VLOOKUP(B3788,#REF!,4,0),IF(A3788="COTAÇÃO",VLOOKUP(B3788,'Mapa Cotações'!$A:$N,13,0)))))),(IF(A3788="SINAPI",VLOOKUP(B3788,#REF!,4,0),IF(A3788="SUDECAP",VLOOKUP(B3788,#REF!,5,0),IF(A3788="SETOP",VLOOKUP(B3788,#REF!,4,0),IF(A3788="COTAÇÃO",VLOOKUP(B3788,'Mapa Cotações'!$A:$N,13,0))))))))</f>
        <v/>
      </c>
      <c r="G3788" s="89" t="str">
        <f>IF(D3788="","",E3788*F3788)</f>
        <v/>
      </c>
    </row>
    <row r="3789" spans="1:11">
      <c r="A3789" s="832" t="s">
        <v>1908</v>
      </c>
      <c r="B3789" s="833"/>
      <c r="C3789" s="833"/>
      <c r="D3789" s="833"/>
      <c r="E3789" s="833"/>
      <c r="F3789" s="834"/>
      <c r="G3789" s="90">
        <f>IF(F3787="","",(SUM(G3787:G3788)))</f>
        <v>49.47</v>
      </c>
    </row>
    <row r="3790" spans="1:11">
      <c r="A3790" s="91"/>
      <c r="B3790" s="92"/>
      <c r="C3790" s="161"/>
      <c r="D3790" s="93"/>
      <c r="E3790" s="94"/>
      <c r="F3790" s="95"/>
      <c r="G3790" s="96"/>
    </row>
    <row r="3791" spans="1:11">
      <c r="A3791" s="835" t="s">
        <v>1909</v>
      </c>
      <c r="B3791" s="836"/>
      <c r="C3791" s="836"/>
      <c r="D3791" s="836"/>
      <c r="E3791" s="836"/>
      <c r="F3791" s="836"/>
      <c r="G3791" s="837"/>
    </row>
    <row r="3792" spans="1:11">
      <c r="A3792" s="84" t="s">
        <v>1903</v>
      </c>
      <c r="B3792" s="84" t="s">
        <v>131</v>
      </c>
      <c r="C3792" s="160" t="s">
        <v>1904</v>
      </c>
      <c r="D3792" s="84" t="s">
        <v>167</v>
      </c>
      <c r="E3792" s="85" t="s">
        <v>1905</v>
      </c>
      <c r="F3792" s="86" t="s">
        <v>1906</v>
      </c>
      <c r="G3792" s="86" t="s">
        <v>1907</v>
      </c>
    </row>
    <row r="3793" spans="1:11" ht="24">
      <c r="A3793" s="87" t="s">
        <v>2</v>
      </c>
      <c r="B3793" s="87">
        <v>88243</v>
      </c>
      <c r="C3793" s="278" t="s">
        <v>2100</v>
      </c>
      <c r="D3793" s="89" t="s">
        <v>137</v>
      </c>
      <c r="E3793" s="88">
        <v>0.3</v>
      </c>
      <c r="F3793" s="89">
        <v>24.36</v>
      </c>
      <c r="G3793" s="89">
        <f>IF(D3793="","",E3793*F3793)</f>
        <v>7.3079999999999998</v>
      </c>
    </row>
    <row r="3794" spans="1:11" ht="24">
      <c r="A3794" s="87" t="s">
        <v>2</v>
      </c>
      <c r="B3794" s="87">
        <v>100308</v>
      </c>
      <c r="C3794" s="278" t="s">
        <v>1936</v>
      </c>
      <c r="D3794" s="89" t="s">
        <v>137</v>
      </c>
      <c r="E3794" s="88">
        <v>0.3</v>
      </c>
      <c r="F3794" s="89">
        <v>25.97</v>
      </c>
      <c r="G3794" s="89">
        <f>IF(D3794="","",E3794*F3794)</f>
        <v>7.7909999999999995</v>
      </c>
    </row>
    <row r="3795" spans="1:11">
      <c r="A3795" s="832" t="s">
        <v>1908</v>
      </c>
      <c r="B3795" s="833"/>
      <c r="C3795" s="833"/>
      <c r="D3795" s="833"/>
      <c r="E3795" s="833"/>
      <c r="F3795" s="834"/>
      <c r="G3795" s="90">
        <f>IF(F3793="","",(SUM(G3793:G3794)))</f>
        <v>15.099</v>
      </c>
    </row>
    <row r="3796" spans="1:11">
      <c r="A3796" s="91"/>
      <c r="B3796" s="92"/>
      <c r="C3796" s="162"/>
      <c r="D3796" s="92"/>
      <c r="E3796" s="97"/>
      <c r="F3796" s="98"/>
      <c r="G3796" s="96"/>
    </row>
    <row r="3797" spans="1:11">
      <c r="A3797" s="835" t="s">
        <v>1912</v>
      </c>
      <c r="B3797" s="836"/>
      <c r="C3797" s="836"/>
      <c r="D3797" s="836"/>
      <c r="E3797" s="836"/>
      <c r="F3797" s="836"/>
      <c r="G3797" s="837"/>
    </row>
    <row r="3798" spans="1:11">
      <c r="A3798" s="84" t="s">
        <v>1903</v>
      </c>
      <c r="B3798" s="84" t="s">
        <v>131</v>
      </c>
      <c r="C3798" s="160" t="s">
        <v>1904</v>
      </c>
      <c r="D3798" s="84" t="s">
        <v>167</v>
      </c>
      <c r="E3798" s="85" t="s">
        <v>1905</v>
      </c>
      <c r="F3798" s="86" t="s">
        <v>1906</v>
      </c>
      <c r="G3798" s="86" t="s">
        <v>1907</v>
      </c>
    </row>
    <row r="3799" spans="1:11">
      <c r="A3799" s="87"/>
      <c r="B3799" s="87"/>
      <c r="C3799" s="278" t="str">
        <f>IF(B3799="","",IF($A$8="NÃO DESONERADO",(IF(A3799="SINAPI",VLOOKUP(B3799,#REF!,2,0),IF(A3799="SUDECAP",VLOOKUP(B3799,#REF!,3,0),IF(A3799="SETOP",VLOOKUP(B3799,#REF!,2,0),IF(A3799="COTAÇÃO",VLOOKUP(B3799,'Mapa Cotações'!$A:$N,2,0)))))),(IF(A3799="SINAPI",VLOOKUP(B3799,#REF!,2,0),IF(A3799="SUDECAP",VLOOKUP(B3799,#REF!,3,0),IF(A3799="SETOP",VLOOKUP(B3799,#REF!,2,0),IF(A3799="COTAÇÃO",VLOOKUP(B3799,'Mapa Cotações'!$A:$N,2,0))))))))</f>
        <v/>
      </c>
      <c r="D3799" s="89" t="str">
        <f>IF(B3799="","",IF($A$8="NÃO DESONERADO",(IF(A3799="SINAPI",VLOOKUP(B3799,#REF!,3,0),IF(A3799="SUDECAP",VLOOKUP(B3799,#REF!,4,0),IF(A3799="SETOP",VLOOKUP(B3799,#REF!,3,0),IF(A3799="COTAÇÃO",VLOOKUP(B3799,'Mapa Cotações'!$A:$N,3,0)))))),(IF(A3799="SINAPI",VLOOKUP(B3799,#REF!,3,0),IF(A3799="SUDECAP",VLOOKUP(B3799,#REF!,4,0),IF(A3799="SETOP",VLOOKUP(B3799,#REF!,3,0),IF(A3799="COTAÇÃO",VLOOKUP(B3799,'Mapa Cotações'!$A:$N,3,0))))))))</f>
        <v/>
      </c>
      <c r="E3799" s="88"/>
      <c r="F3799" s="89" t="str">
        <f>IF(B3799="","",IF($A$8="NÃO DESONERADO",(IF(A3799="SINAPI",VLOOKUP(B3799,#REF!,4,0),IF(A3799="SUDECAP",VLOOKUP(B3799,#REF!,5,0),IF(A3799="SETOP",VLOOKUP(B3799,#REF!,4,0),IF(A3799="COTAÇÃO",VLOOKUP(B3799,'Mapa Cotações'!$A:$N,13,0)))))),(IF(A3799="SINAPI",VLOOKUP(B3799,#REF!,4,0),IF(A3799="SUDECAP",VLOOKUP(B3799,#REF!,5,0),IF(A3799="SETOP",VLOOKUP(B3799,#REF!,4,0),IF(A3799="COTAÇÃO",VLOOKUP(B3799,'Mapa Cotações'!$A:$N,13,0))))))))</f>
        <v/>
      </c>
      <c r="G3799" s="89" t="str">
        <f>IF(D3799="","",E3799*F3799)</f>
        <v/>
      </c>
    </row>
    <row r="3800" spans="1:11">
      <c r="A3800" s="87"/>
      <c r="B3800" s="87"/>
      <c r="C3800" s="278" t="str">
        <f>IF(B3800="","",IF($A$8="NÃO DESONERADO",(IF(A3800="SINAPI",VLOOKUP(B3800,#REF!,2,0),IF(A3800="SUDECAP",VLOOKUP(B3800,#REF!,3,0),IF(A3800="SETOP",VLOOKUP(B3800,#REF!,2,0),IF(A3800="COTAÇÃO",VLOOKUP(B3800,'Mapa Cotações'!$A:$N,2,0)))))),(IF(A3800="SINAPI",VLOOKUP(B3800,#REF!,2,0),IF(A3800="SUDECAP",VLOOKUP(B3800,#REF!,3,0),IF(A3800="SETOP",VLOOKUP(B3800,#REF!,2,0),IF(A3800="COTAÇÃO",VLOOKUP(B3800,'Mapa Cotações'!$A:$N,2,0))))))))</f>
        <v/>
      </c>
      <c r="D3800" s="89" t="str">
        <f>IF(B3800="","",IF($A$8="NÃO DESONERADO",(IF(A3800="SINAPI",VLOOKUP(B3800,#REF!,3,0),IF(A3800="SUDECAP",VLOOKUP(B3800,#REF!,4,0),IF(A3800="SETOP",VLOOKUP(B3800,#REF!,3,0),IF(A3800="COTAÇÃO",VLOOKUP(B3800,'Mapa Cotações'!$A:$N,3,0)))))),(IF(A3800="SINAPI",VLOOKUP(B3800,#REF!,3,0),IF(A3800="SUDECAP",VLOOKUP(B3800,#REF!,4,0),IF(A3800="SETOP",VLOOKUP(B3800,#REF!,3,0),IF(A3800="COTAÇÃO",VLOOKUP(B3800,'Mapa Cotações'!$A:$N,3,0))))))))</f>
        <v/>
      </c>
      <c r="E3800" s="88"/>
      <c r="F3800" s="89" t="str">
        <f>IF(B3800="","",IF($A$8="NÃO DESONERADO",(IF(A3800="SINAPI",VLOOKUP(B3800,#REF!,4,0),IF(A3800="SUDECAP",VLOOKUP(B3800,#REF!,5,0),IF(A3800="SETOP",VLOOKUP(B3800,#REF!,4,0),IF(A3800="COTAÇÃO",VLOOKUP(B3800,'Mapa Cotações'!$A:$N,13,0)))))),(IF(A3800="SINAPI",VLOOKUP(B3800,#REF!,4,0),IF(A3800="SUDECAP",VLOOKUP(B3800,#REF!,5,0),IF(A3800="SETOP",VLOOKUP(B3800,#REF!,4,0),IF(A3800="COTAÇÃO",VLOOKUP(B3800,'Mapa Cotações'!$A:$N,13,0))))))))</f>
        <v/>
      </c>
      <c r="G3800" s="89" t="str">
        <f>IF(D3800="","",E3800*F3800)</f>
        <v/>
      </c>
    </row>
    <row r="3801" spans="1:11">
      <c r="A3801" s="832" t="s">
        <v>1908</v>
      </c>
      <c r="B3801" s="833" t="s">
        <v>1908</v>
      </c>
      <c r="C3801" s="833"/>
      <c r="D3801" s="833"/>
      <c r="E3801" s="833"/>
      <c r="F3801" s="834"/>
      <c r="G3801" s="90" t="str">
        <f>IF(F3799="","",(SUM(G3799:G3800)))</f>
        <v/>
      </c>
    </row>
    <row r="3802" spans="1:11" ht="13.5" thickBot="1">
      <c r="A3802" s="91"/>
      <c r="B3802" s="92"/>
      <c r="C3802" s="163"/>
      <c r="D3802" s="99"/>
      <c r="E3802" s="100"/>
      <c r="F3802" s="101"/>
      <c r="G3802" s="102"/>
    </row>
    <row r="3803" spans="1:11" ht="13.5" thickBot="1">
      <c r="A3803" s="838" t="s">
        <v>1259</v>
      </c>
      <c r="B3803" s="839"/>
      <c r="C3803" s="839"/>
      <c r="D3803" s="839"/>
      <c r="E3803" s="839"/>
      <c r="F3803" s="840"/>
      <c r="G3803" s="103">
        <f>SUM(G3789,G3795,G3801)</f>
        <v>64.569000000000003</v>
      </c>
    </row>
    <row r="3806" spans="1:11">
      <c r="A3806" s="237" t="s">
        <v>131</v>
      </c>
      <c r="B3806" s="190" t="s">
        <v>27</v>
      </c>
      <c r="C3806" s="841" t="s">
        <v>1281</v>
      </c>
      <c r="D3806" s="841"/>
      <c r="E3806" s="841"/>
      <c r="F3806" s="841"/>
      <c r="G3806" s="81" t="s">
        <v>127</v>
      </c>
      <c r="I3806" s="480" t="s">
        <v>1901</v>
      </c>
      <c r="J3806" s="80"/>
      <c r="K3806" s="80"/>
    </row>
    <row r="3807" spans="1:11" ht="50.1" customHeight="1">
      <c r="A3807" s="82" t="s">
        <v>1095</v>
      </c>
      <c r="B3807" s="82"/>
      <c r="C3807" s="830" t="s">
        <v>1096</v>
      </c>
      <c r="D3807" s="831"/>
      <c r="E3807" s="831"/>
      <c r="F3807" s="186">
        <f>G3826</f>
        <v>51.869</v>
      </c>
      <c r="G3807" s="83" t="s">
        <v>167</v>
      </c>
      <c r="I3807" s="481"/>
      <c r="J3807" s="272"/>
      <c r="K3807" s="272"/>
    </row>
    <row r="3808" spans="1:11">
      <c r="A3808" s="818" t="s">
        <v>1902</v>
      </c>
      <c r="B3808" s="819"/>
      <c r="C3808" s="819"/>
      <c r="D3808" s="819"/>
      <c r="E3808" s="819"/>
      <c r="F3808" s="819"/>
      <c r="G3808" s="820"/>
    </row>
    <row r="3809" spans="1:7">
      <c r="A3809" s="84" t="s">
        <v>1903</v>
      </c>
      <c r="B3809" s="84" t="s">
        <v>131</v>
      </c>
      <c r="C3809" s="160" t="s">
        <v>1904</v>
      </c>
      <c r="D3809" s="84" t="s">
        <v>167</v>
      </c>
      <c r="E3809" s="85" t="s">
        <v>1905</v>
      </c>
      <c r="F3809" s="86" t="s">
        <v>1906</v>
      </c>
      <c r="G3809" s="86" t="s">
        <v>1907</v>
      </c>
    </row>
    <row r="3810" spans="1:7" ht="36">
      <c r="A3810" s="87" t="s">
        <v>1917</v>
      </c>
      <c r="B3810" s="187" t="s">
        <v>2123</v>
      </c>
      <c r="C3810" s="278" t="str">
        <f>IF(B3810="","",IF($A$8="NÃO DESONERADO",(IF(A3810="SINAPI",VLOOKUP(B3810,#REF!,2,0),IF(A3810="SUDECAP",VLOOKUP(B3810,#REF!,3,0),IF(A3810="SETOP",VLOOKUP(B3810,#REF!,2,0),IF(A3810="COTAÇÃO",VLOOKUP(B3810,'Mapa Cotações'!$A:$N,2,0)))))),(IF(A3810="SINAPI",VLOOKUP(B3810,#REF!,2,0),IF(A3810="SUDECAP",VLOOKUP(B3810,#REF!,3,0),IF(A3810="SETOP",VLOOKUP(B3810,#REF!,2,0),IF(A3810="COTAÇÃO",VLOOKUP(B3810,'Mapa Cotações'!$A:$N,2,0))))))))</f>
        <v>COLARINHO EM CHAPA GALVANIZADA, PARA INTERLIGAR DUTO FLEXÍVEL AO DUTO PRINCIPAL, COM REGISTRO, Φ = 8", REF.: MULITVAC OU EQUIVALENTE</v>
      </c>
      <c r="D3810" s="89" t="str">
        <f>IF(B3810="","",IF($A$8="NÃO DESONERADO",(IF(A3810="SINAPI",VLOOKUP(B3810,#REF!,3,0),IF(A3810="SUDECAP",VLOOKUP(B3810,#REF!,4,0),IF(A3810="SETOP",VLOOKUP(B3810,#REF!,3,0),IF(A3810="COTAÇÃO",VLOOKUP(B3810,'Mapa Cotações'!$A:$N,3,0)))))),(IF(A3810="SINAPI",VLOOKUP(B3810,#REF!,3,0),IF(A3810="SUDECAP",VLOOKUP(B3810,#REF!,4,0),IF(A3810="SETOP",VLOOKUP(B3810,#REF!,3,0),IF(A3810="COTAÇÃO",VLOOKUP(B3810,'Mapa Cotações'!$A:$N,3,0))))))))</f>
        <v>UN</v>
      </c>
      <c r="E3810" s="88">
        <v>1</v>
      </c>
      <c r="F3810" s="89">
        <f>IF(B3810="","",IF($A$8="NÃO DESONERADO",(IF(A3810="SINAPI",VLOOKUP(B3810,#REF!,4,0),IF(A3810="SUDECAP",VLOOKUP(B3810,#REF!,5,0),IF(A3810="SETOP",VLOOKUP(B3810,#REF!,4,0),IF(A3810="COTAÇÃO",VLOOKUP(B3810,'Mapa Cotações'!$A:$N,13,0)))))),(IF(A3810="SINAPI",VLOOKUP(B3810,#REF!,4,0),IF(A3810="SUDECAP",VLOOKUP(B3810,#REF!,5,0),IF(A3810="SETOP",VLOOKUP(B3810,#REF!,4,0),IF(A3810="COTAÇÃO",VLOOKUP(B3810,'Mapa Cotações'!$A:$N,13,0))))))))</f>
        <v>36.770000000000003</v>
      </c>
      <c r="G3810" s="89">
        <f>IF(D3810="","",E3810*F3810)</f>
        <v>36.770000000000003</v>
      </c>
    </row>
    <row r="3811" spans="1:7">
      <c r="A3811" s="87"/>
      <c r="B3811" s="87"/>
      <c r="C3811" s="278" t="str">
        <f>IF(B3811="","",IF($A$8="NÃO DESONERADO",(IF(A3811="SINAPI",VLOOKUP(B3811,#REF!,2,0),IF(A3811="SUDECAP",VLOOKUP(B3811,#REF!,3,0),IF(A3811="SETOP",VLOOKUP(B3811,#REF!,2,0),IF(A3811="COTAÇÃO",VLOOKUP(B3811,'Mapa Cotações'!$A:$N,2,0)))))),(IF(A3811="SINAPI",VLOOKUP(B3811,#REF!,2,0),IF(A3811="SUDECAP",VLOOKUP(B3811,#REF!,3,0),IF(A3811="SETOP",VLOOKUP(B3811,#REF!,2,0),IF(A3811="COTAÇÃO",VLOOKUP(B3811,'Mapa Cotações'!$A:$N,2,0))))))))</f>
        <v/>
      </c>
      <c r="D3811" s="89" t="str">
        <f>IF(B3811="","",IF($A$8="NÃO DESONERADO",(IF(A3811="SINAPI",VLOOKUP(B3811,#REF!,3,0),IF(A3811="SUDECAP",VLOOKUP(B3811,#REF!,4,0),IF(A3811="SETOP",VLOOKUP(B3811,#REF!,3,0),IF(A3811="COTAÇÃO",VLOOKUP(B3811,'Mapa Cotações'!$A:$N,3,0)))))),(IF(A3811="SINAPI",VLOOKUP(B3811,#REF!,3,0),IF(A3811="SUDECAP",VLOOKUP(B3811,#REF!,4,0),IF(A3811="SETOP",VLOOKUP(B3811,#REF!,3,0),IF(A3811="COTAÇÃO",VLOOKUP(B3811,'Mapa Cotações'!$A:$N,3,0))))))))</f>
        <v/>
      </c>
      <c r="E3811" s="88"/>
      <c r="F3811" s="89" t="str">
        <f>IF(B3811="","",IF($A$8="NÃO DESONERADO",(IF(A3811="SINAPI",VLOOKUP(B3811,#REF!,4,0),IF(A3811="SUDECAP",VLOOKUP(B3811,#REF!,5,0),IF(A3811="SETOP",VLOOKUP(B3811,#REF!,4,0),IF(A3811="COTAÇÃO",VLOOKUP(B3811,'Mapa Cotações'!$A:$N,13,0)))))),(IF(A3811="SINAPI",VLOOKUP(B3811,#REF!,4,0),IF(A3811="SUDECAP",VLOOKUP(B3811,#REF!,5,0),IF(A3811="SETOP",VLOOKUP(B3811,#REF!,4,0),IF(A3811="COTAÇÃO",VLOOKUP(B3811,'Mapa Cotações'!$A:$N,13,0))))))))</f>
        <v/>
      </c>
      <c r="G3811" s="89" t="str">
        <f>IF(D3811="","",E3811*F3811)</f>
        <v/>
      </c>
    </row>
    <row r="3812" spans="1:7">
      <c r="A3812" s="832" t="s">
        <v>1908</v>
      </c>
      <c r="B3812" s="833"/>
      <c r="C3812" s="833"/>
      <c r="D3812" s="833"/>
      <c r="E3812" s="833"/>
      <c r="F3812" s="834"/>
      <c r="G3812" s="90">
        <f>IF(F3810="","",(SUM(G3810:G3811)))</f>
        <v>36.770000000000003</v>
      </c>
    </row>
    <row r="3813" spans="1:7">
      <c r="A3813" s="91"/>
      <c r="B3813" s="92"/>
      <c r="C3813" s="161"/>
      <c r="D3813" s="93"/>
      <c r="E3813" s="94"/>
      <c r="F3813" s="95"/>
      <c r="G3813" s="96"/>
    </row>
    <row r="3814" spans="1:7">
      <c r="A3814" s="835" t="s">
        <v>1909</v>
      </c>
      <c r="B3814" s="836"/>
      <c r="C3814" s="836"/>
      <c r="D3814" s="836"/>
      <c r="E3814" s="836"/>
      <c r="F3814" s="836"/>
      <c r="G3814" s="837"/>
    </row>
    <row r="3815" spans="1:7">
      <c r="A3815" s="84" t="s">
        <v>1903</v>
      </c>
      <c r="B3815" s="84" t="s">
        <v>131</v>
      </c>
      <c r="C3815" s="160" t="s">
        <v>1904</v>
      </c>
      <c r="D3815" s="84" t="s">
        <v>167</v>
      </c>
      <c r="E3815" s="85" t="s">
        <v>1905</v>
      </c>
      <c r="F3815" s="86" t="s">
        <v>1906</v>
      </c>
      <c r="G3815" s="86" t="s">
        <v>1907</v>
      </c>
    </row>
    <row r="3816" spans="1:7" ht="24">
      <c r="A3816" s="87" t="s">
        <v>2</v>
      </c>
      <c r="B3816" s="87">
        <v>88243</v>
      </c>
      <c r="C3816" s="278" t="s">
        <v>2100</v>
      </c>
      <c r="D3816" s="89" t="s">
        <v>137</v>
      </c>
      <c r="E3816" s="88">
        <v>0.3</v>
      </c>
      <c r="F3816" s="89">
        <v>24.36</v>
      </c>
      <c r="G3816" s="89">
        <f>IF(D3816="","",E3816*F3816)</f>
        <v>7.3079999999999998</v>
      </c>
    </row>
    <row r="3817" spans="1:7" ht="24">
      <c r="A3817" s="87" t="s">
        <v>2</v>
      </c>
      <c r="B3817" s="87">
        <v>100308</v>
      </c>
      <c r="C3817" s="278" t="s">
        <v>1936</v>
      </c>
      <c r="D3817" s="89" t="s">
        <v>137</v>
      </c>
      <c r="E3817" s="88">
        <v>0.3</v>
      </c>
      <c r="F3817" s="89">
        <v>25.97</v>
      </c>
      <c r="G3817" s="89">
        <f>IF(D3817="","",E3817*F3817)</f>
        <v>7.7909999999999995</v>
      </c>
    </row>
    <row r="3818" spans="1:7">
      <c r="A3818" s="832" t="s">
        <v>1908</v>
      </c>
      <c r="B3818" s="833"/>
      <c r="C3818" s="833"/>
      <c r="D3818" s="833"/>
      <c r="E3818" s="833"/>
      <c r="F3818" s="834"/>
      <c r="G3818" s="90">
        <f>IF(F3816="","",(SUM(G3816:G3817)))</f>
        <v>15.099</v>
      </c>
    </row>
    <row r="3819" spans="1:7">
      <c r="A3819" s="91"/>
      <c r="B3819" s="92"/>
      <c r="C3819" s="162"/>
      <c r="D3819" s="92"/>
      <c r="E3819" s="97"/>
      <c r="F3819" s="98"/>
      <c r="G3819" s="96"/>
    </row>
    <row r="3820" spans="1:7">
      <c r="A3820" s="835" t="s">
        <v>1912</v>
      </c>
      <c r="B3820" s="836"/>
      <c r="C3820" s="836"/>
      <c r="D3820" s="836"/>
      <c r="E3820" s="836"/>
      <c r="F3820" s="836"/>
      <c r="G3820" s="837"/>
    </row>
    <row r="3821" spans="1:7">
      <c r="A3821" s="84" t="s">
        <v>1903</v>
      </c>
      <c r="B3821" s="84" t="s">
        <v>131</v>
      </c>
      <c r="C3821" s="160" t="s">
        <v>1904</v>
      </c>
      <c r="D3821" s="84" t="s">
        <v>167</v>
      </c>
      <c r="E3821" s="85" t="s">
        <v>1905</v>
      </c>
      <c r="F3821" s="86" t="s">
        <v>1906</v>
      </c>
      <c r="G3821" s="86" t="s">
        <v>1907</v>
      </c>
    </row>
    <row r="3822" spans="1:7">
      <c r="A3822" s="87"/>
      <c r="B3822" s="87"/>
      <c r="C3822" s="278" t="str">
        <f>IF(B3822="","",IF($A$8="NÃO DESONERADO",(IF(A3822="SINAPI",VLOOKUP(B3822,#REF!,2,0),IF(A3822="SUDECAP",VLOOKUP(B3822,#REF!,3,0),IF(A3822="SETOP",VLOOKUP(B3822,#REF!,2,0),IF(A3822="COTAÇÃO",VLOOKUP(B3822,'Mapa Cotações'!$A:$N,2,0)))))),(IF(A3822="SINAPI",VLOOKUP(B3822,#REF!,2,0),IF(A3822="SUDECAP",VLOOKUP(B3822,#REF!,3,0),IF(A3822="SETOP",VLOOKUP(B3822,#REF!,2,0),IF(A3822="COTAÇÃO",VLOOKUP(B3822,'Mapa Cotações'!$A:$N,2,0))))))))</f>
        <v/>
      </c>
      <c r="D3822" s="89" t="str">
        <f>IF(B3822="","",IF($A$8="NÃO DESONERADO",(IF(A3822="SINAPI",VLOOKUP(B3822,#REF!,3,0),IF(A3822="SUDECAP",VLOOKUP(B3822,#REF!,4,0),IF(A3822="SETOP",VLOOKUP(B3822,#REF!,3,0),IF(A3822="COTAÇÃO",VLOOKUP(B3822,'Mapa Cotações'!$A:$N,3,0)))))),(IF(A3822="SINAPI",VLOOKUP(B3822,#REF!,3,0),IF(A3822="SUDECAP",VLOOKUP(B3822,#REF!,4,0),IF(A3822="SETOP",VLOOKUP(B3822,#REF!,3,0),IF(A3822="COTAÇÃO",VLOOKUP(B3822,'Mapa Cotações'!$A:$N,3,0))))))))</f>
        <v/>
      </c>
      <c r="E3822" s="88"/>
      <c r="F3822" s="89" t="str">
        <f>IF(B3822="","",IF($A$8="NÃO DESONERADO",(IF(A3822="SINAPI",VLOOKUP(B3822,#REF!,4,0),IF(A3822="SUDECAP",VLOOKUP(B3822,#REF!,5,0),IF(A3822="SETOP",VLOOKUP(B3822,#REF!,4,0),IF(A3822="COTAÇÃO",VLOOKUP(B3822,'Mapa Cotações'!$A:$N,13,0)))))),(IF(A3822="SINAPI",VLOOKUP(B3822,#REF!,4,0),IF(A3822="SUDECAP",VLOOKUP(B3822,#REF!,5,0),IF(A3822="SETOP",VLOOKUP(B3822,#REF!,4,0),IF(A3822="COTAÇÃO",VLOOKUP(B3822,'Mapa Cotações'!$A:$N,13,0))))))))</f>
        <v/>
      </c>
      <c r="G3822" s="89" t="str">
        <f>IF(D3822="","",E3822*F3822)</f>
        <v/>
      </c>
    </row>
    <row r="3823" spans="1:7">
      <c r="A3823" s="87"/>
      <c r="B3823" s="87"/>
      <c r="C3823" s="278" t="str">
        <f>IF(B3823="","",IF($A$8="NÃO DESONERADO",(IF(A3823="SINAPI",VLOOKUP(B3823,#REF!,2,0),IF(A3823="SUDECAP",VLOOKUP(B3823,#REF!,3,0),IF(A3823="SETOP",VLOOKUP(B3823,#REF!,2,0),IF(A3823="COTAÇÃO",VLOOKUP(B3823,'Mapa Cotações'!$A:$N,2,0)))))),(IF(A3823="SINAPI",VLOOKUP(B3823,#REF!,2,0),IF(A3823="SUDECAP",VLOOKUP(B3823,#REF!,3,0),IF(A3823="SETOP",VLOOKUP(B3823,#REF!,2,0),IF(A3823="COTAÇÃO",VLOOKUP(B3823,'Mapa Cotações'!$A:$N,2,0))))))))</f>
        <v/>
      </c>
      <c r="D3823" s="89" t="str">
        <f>IF(B3823="","",IF($A$8="NÃO DESONERADO",(IF(A3823="SINAPI",VLOOKUP(B3823,#REF!,3,0),IF(A3823="SUDECAP",VLOOKUP(B3823,#REF!,4,0),IF(A3823="SETOP",VLOOKUP(B3823,#REF!,3,0),IF(A3823="COTAÇÃO",VLOOKUP(B3823,'Mapa Cotações'!$A:$N,3,0)))))),(IF(A3823="SINAPI",VLOOKUP(B3823,#REF!,3,0),IF(A3823="SUDECAP",VLOOKUP(B3823,#REF!,4,0),IF(A3823="SETOP",VLOOKUP(B3823,#REF!,3,0),IF(A3823="COTAÇÃO",VLOOKUP(B3823,'Mapa Cotações'!$A:$N,3,0))))))))</f>
        <v/>
      </c>
      <c r="E3823" s="88"/>
      <c r="F3823" s="89" t="str">
        <f>IF(B3823="","",IF($A$8="NÃO DESONERADO",(IF(A3823="SINAPI",VLOOKUP(B3823,#REF!,4,0),IF(A3823="SUDECAP",VLOOKUP(B3823,#REF!,5,0),IF(A3823="SETOP",VLOOKUP(B3823,#REF!,4,0),IF(A3823="COTAÇÃO",VLOOKUP(B3823,'Mapa Cotações'!$A:$N,13,0)))))),(IF(A3823="SINAPI",VLOOKUP(B3823,#REF!,4,0),IF(A3823="SUDECAP",VLOOKUP(B3823,#REF!,5,0),IF(A3823="SETOP",VLOOKUP(B3823,#REF!,4,0),IF(A3823="COTAÇÃO",VLOOKUP(B3823,'Mapa Cotações'!$A:$N,13,0))))))))</f>
        <v/>
      </c>
      <c r="G3823" s="89" t="str">
        <f>IF(D3823="","",E3823*F3823)</f>
        <v/>
      </c>
    </row>
    <row r="3824" spans="1:7">
      <c r="A3824" s="832" t="s">
        <v>1908</v>
      </c>
      <c r="B3824" s="833" t="s">
        <v>1908</v>
      </c>
      <c r="C3824" s="833"/>
      <c r="D3824" s="833"/>
      <c r="E3824" s="833"/>
      <c r="F3824" s="834"/>
      <c r="G3824" s="90" t="str">
        <f>IF(F3822="","",(SUM(G3822:G3823)))</f>
        <v/>
      </c>
    </row>
    <row r="3825" spans="1:11" ht="13.5" thickBot="1">
      <c r="A3825" s="91"/>
      <c r="B3825" s="92"/>
      <c r="C3825" s="163"/>
      <c r="D3825" s="99"/>
      <c r="E3825" s="100"/>
      <c r="F3825" s="101"/>
      <c r="G3825" s="102"/>
    </row>
    <row r="3826" spans="1:11" ht="13.5" thickBot="1">
      <c r="A3826" s="838" t="s">
        <v>1259</v>
      </c>
      <c r="B3826" s="839"/>
      <c r="C3826" s="839"/>
      <c r="D3826" s="839"/>
      <c r="E3826" s="839"/>
      <c r="F3826" s="840"/>
      <c r="G3826" s="103">
        <f>SUM(G3812,G3818,G3824)</f>
        <v>51.869</v>
      </c>
    </row>
    <row r="3829" spans="1:11">
      <c r="A3829" s="237" t="s">
        <v>131</v>
      </c>
      <c r="B3829" s="190" t="s">
        <v>27</v>
      </c>
      <c r="C3829" s="841" t="s">
        <v>1281</v>
      </c>
      <c r="D3829" s="841"/>
      <c r="E3829" s="841"/>
      <c r="F3829" s="841"/>
      <c r="G3829" s="81" t="s">
        <v>127</v>
      </c>
      <c r="I3829" s="480" t="s">
        <v>1901</v>
      </c>
      <c r="J3829" s="80"/>
      <c r="K3829" s="80"/>
    </row>
    <row r="3830" spans="1:11" ht="50.1" customHeight="1">
      <c r="A3830" s="82" t="s">
        <v>1098</v>
      </c>
      <c r="B3830" s="82"/>
      <c r="C3830" s="830" t="s">
        <v>1099</v>
      </c>
      <c r="D3830" s="831"/>
      <c r="E3830" s="831"/>
      <c r="F3830" s="186">
        <f>G3849</f>
        <v>44.379000000000005</v>
      </c>
      <c r="G3830" s="83" t="s">
        <v>167</v>
      </c>
      <c r="I3830" s="481"/>
      <c r="J3830" s="272"/>
      <c r="K3830" s="272"/>
    </row>
    <row r="3831" spans="1:11">
      <c r="A3831" s="818" t="s">
        <v>1902</v>
      </c>
      <c r="B3831" s="819"/>
      <c r="C3831" s="819"/>
      <c r="D3831" s="819"/>
      <c r="E3831" s="819"/>
      <c r="F3831" s="819"/>
      <c r="G3831" s="820"/>
    </row>
    <row r="3832" spans="1:11">
      <c r="A3832" s="84" t="s">
        <v>1903</v>
      </c>
      <c r="B3832" s="84" t="s">
        <v>131</v>
      </c>
      <c r="C3832" s="160" t="s">
        <v>1904</v>
      </c>
      <c r="D3832" s="84" t="s">
        <v>167</v>
      </c>
      <c r="E3832" s="85" t="s">
        <v>1905</v>
      </c>
      <c r="F3832" s="86" t="s">
        <v>1906</v>
      </c>
      <c r="G3832" s="86" t="s">
        <v>1907</v>
      </c>
    </row>
    <row r="3833" spans="1:11" ht="36">
      <c r="A3833" s="87" t="s">
        <v>1917</v>
      </c>
      <c r="B3833" s="187" t="s">
        <v>2124</v>
      </c>
      <c r="C3833" s="278" t="str">
        <f>IF(B3833="","",IF($A$8="NÃO DESONERADO",(IF(A3833="SINAPI",VLOOKUP(B3833,#REF!,2,0),IF(A3833="SUDECAP",VLOOKUP(B3833,#REF!,3,0),IF(A3833="SETOP",VLOOKUP(B3833,#REF!,2,0),IF(A3833="COTAÇÃO",VLOOKUP(B3833,'Mapa Cotações'!$A:$N,2,0)))))),(IF(A3833="SINAPI",VLOOKUP(B3833,#REF!,2,0),IF(A3833="SUDECAP",VLOOKUP(B3833,#REF!,3,0),IF(A3833="SETOP",VLOOKUP(B3833,#REF!,2,0),IF(A3833="COTAÇÃO",VLOOKUP(B3833,'Mapa Cotações'!$A:$N,2,0))))))))</f>
        <v>COLARINHO EM CHAPA GALVANIZADA, PARA INTERLIGAR DUTO FLEXÍVEL AO DUTO PRINCIPAL, COM REGISTRO, Φ = 6", REF.: MULTIVAC OU EQUIVALENTE</v>
      </c>
      <c r="D3833" s="89" t="str">
        <f>IF(B3833="","",IF($A$8="NÃO DESONERADO",(IF(A3833="SINAPI",VLOOKUP(B3833,#REF!,3,0),IF(A3833="SUDECAP",VLOOKUP(B3833,#REF!,4,0),IF(A3833="SETOP",VLOOKUP(B3833,#REF!,3,0),IF(A3833="COTAÇÃO",VLOOKUP(B3833,'Mapa Cotações'!$A:$N,3,0)))))),(IF(A3833="SINAPI",VLOOKUP(B3833,#REF!,3,0),IF(A3833="SUDECAP",VLOOKUP(B3833,#REF!,4,0),IF(A3833="SETOP",VLOOKUP(B3833,#REF!,3,0),IF(A3833="COTAÇÃO",VLOOKUP(B3833,'Mapa Cotações'!$A:$N,3,0))))))))</f>
        <v>UN</v>
      </c>
      <c r="E3833" s="88">
        <v>1</v>
      </c>
      <c r="F3833" s="89">
        <f>IF(B3833="","",IF($A$8="NÃO DESONERADO",(IF(A3833="SINAPI",VLOOKUP(B3833,#REF!,4,0),IF(A3833="SUDECAP",VLOOKUP(B3833,#REF!,5,0),IF(A3833="SETOP",VLOOKUP(B3833,#REF!,4,0),IF(A3833="COTAÇÃO",VLOOKUP(B3833,'Mapa Cotações'!$A:$N,13,0)))))),(IF(A3833="SINAPI",VLOOKUP(B3833,#REF!,4,0),IF(A3833="SUDECAP",VLOOKUP(B3833,#REF!,5,0),IF(A3833="SETOP",VLOOKUP(B3833,#REF!,4,0),IF(A3833="COTAÇÃO",VLOOKUP(B3833,'Mapa Cotações'!$A:$N,13,0))))))))</f>
        <v>29.28</v>
      </c>
      <c r="G3833" s="89">
        <f>IF(D3833="","",E3833*F3833)</f>
        <v>29.28</v>
      </c>
    </row>
    <row r="3834" spans="1:11">
      <c r="A3834" s="87"/>
      <c r="B3834" s="87"/>
      <c r="C3834" s="278" t="str">
        <f>IF(B3834="","",IF($A$8="NÃO DESONERADO",(IF(A3834="SINAPI",VLOOKUP(B3834,#REF!,2,0),IF(A3834="SUDECAP",VLOOKUP(B3834,#REF!,3,0),IF(A3834="SETOP",VLOOKUP(B3834,#REF!,2,0),IF(A3834="COTAÇÃO",VLOOKUP(B3834,'Mapa Cotações'!$A:$N,2,0)))))),(IF(A3834="SINAPI",VLOOKUP(B3834,#REF!,2,0),IF(A3834="SUDECAP",VLOOKUP(B3834,#REF!,3,0),IF(A3834="SETOP",VLOOKUP(B3834,#REF!,2,0),IF(A3834="COTAÇÃO",VLOOKUP(B3834,'Mapa Cotações'!$A:$N,2,0))))))))</f>
        <v/>
      </c>
      <c r="D3834" s="89" t="str">
        <f>IF(B3834="","",IF($A$8="NÃO DESONERADO",(IF(A3834="SINAPI",VLOOKUP(B3834,#REF!,3,0),IF(A3834="SUDECAP",VLOOKUP(B3834,#REF!,4,0),IF(A3834="SETOP",VLOOKUP(B3834,#REF!,3,0),IF(A3834="COTAÇÃO",VLOOKUP(B3834,'Mapa Cotações'!$A:$N,3,0)))))),(IF(A3834="SINAPI",VLOOKUP(B3834,#REF!,3,0),IF(A3834="SUDECAP",VLOOKUP(B3834,#REF!,4,0),IF(A3834="SETOP",VLOOKUP(B3834,#REF!,3,0),IF(A3834="COTAÇÃO",VLOOKUP(B3834,'Mapa Cotações'!$A:$N,3,0))))))))</f>
        <v/>
      </c>
      <c r="E3834" s="88"/>
      <c r="F3834" s="89" t="str">
        <f>IF(B3834="","",IF($A$8="NÃO DESONERADO",(IF(A3834="SINAPI",VLOOKUP(B3834,#REF!,4,0),IF(A3834="SUDECAP",VLOOKUP(B3834,#REF!,5,0),IF(A3834="SETOP",VLOOKUP(B3834,#REF!,4,0),IF(A3834="COTAÇÃO",VLOOKUP(B3834,'Mapa Cotações'!$A:$N,13,0)))))),(IF(A3834="SINAPI",VLOOKUP(B3834,#REF!,4,0),IF(A3834="SUDECAP",VLOOKUP(B3834,#REF!,5,0),IF(A3834="SETOP",VLOOKUP(B3834,#REF!,4,0),IF(A3834="COTAÇÃO",VLOOKUP(B3834,'Mapa Cotações'!$A:$N,13,0))))))))</f>
        <v/>
      </c>
      <c r="G3834" s="89" t="str">
        <f>IF(D3834="","",E3834*F3834)</f>
        <v/>
      </c>
    </row>
    <row r="3835" spans="1:11">
      <c r="A3835" s="832" t="s">
        <v>1908</v>
      </c>
      <c r="B3835" s="833"/>
      <c r="C3835" s="833"/>
      <c r="D3835" s="833"/>
      <c r="E3835" s="833"/>
      <c r="F3835" s="834"/>
      <c r="G3835" s="90">
        <f>IF(F3833="","",(SUM(G3833:G3834)))</f>
        <v>29.28</v>
      </c>
    </row>
    <row r="3836" spans="1:11">
      <c r="A3836" s="91"/>
      <c r="B3836" s="92"/>
      <c r="C3836" s="161"/>
      <c r="D3836" s="93"/>
      <c r="E3836" s="94"/>
      <c r="F3836" s="95"/>
      <c r="G3836" s="96"/>
    </row>
    <row r="3837" spans="1:11">
      <c r="A3837" s="835" t="s">
        <v>1909</v>
      </c>
      <c r="B3837" s="836"/>
      <c r="C3837" s="836"/>
      <c r="D3837" s="836"/>
      <c r="E3837" s="836"/>
      <c r="F3837" s="836"/>
      <c r="G3837" s="837"/>
    </row>
    <row r="3838" spans="1:11">
      <c r="A3838" s="84" t="s">
        <v>1903</v>
      </c>
      <c r="B3838" s="84" t="s">
        <v>131</v>
      </c>
      <c r="C3838" s="160" t="s">
        <v>1904</v>
      </c>
      <c r="D3838" s="84" t="s">
        <v>167</v>
      </c>
      <c r="E3838" s="85" t="s">
        <v>1905</v>
      </c>
      <c r="F3838" s="86" t="s">
        <v>1906</v>
      </c>
      <c r="G3838" s="86" t="s">
        <v>1907</v>
      </c>
    </row>
    <row r="3839" spans="1:11" ht="24">
      <c r="A3839" s="87" t="s">
        <v>2</v>
      </c>
      <c r="B3839" s="87">
        <v>88243</v>
      </c>
      <c r="C3839" s="278" t="s">
        <v>2100</v>
      </c>
      <c r="D3839" s="89" t="s">
        <v>137</v>
      </c>
      <c r="E3839" s="88">
        <v>0.3</v>
      </c>
      <c r="F3839" s="89">
        <v>24.36</v>
      </c>
      <c r="G3839" s="89">
        <f>IF(D3839="","",E3839*F3839)</f>
        <v>7.3079999999999998</v>
      </c>
    </row>
    <row r="3840" spans="1:11" ht="24">
      <c r="A3840" s="87" t="s">
        <v>2</v>
      </c>
      <c r="B3840" s="87">
        <v>100308</v>
      </c>
      <c r="C3840" s="278" t="s">
        <v>1936</v>
      </c>
      <c r="D3840" s="89" t="s">
        <v>137</v>
      </c>
      <c r="E3840" s="88">
        <v>0.3</v>
      </c>
      <c r="F3840" s="89">
        <v>25.97</v>
      </c>
      <c r="G3840" s="89">
        <f>IF(D3840="","",E3840*F3840)</f>
        <v>7.7909999999999995</v>
      </c>
    </row>
    <row r="3841" spans="1:11">
      <c r="A3841" s="832" t="s">
        <v>1908</v>
      </c>
      <c r="B3841" s="833"/>
      <c r="C3841" s="833"/>
      <c r="D3841" s="833"/>
      <c r="E3841" s="833"/>
      <c r="F3841" s="834"/>
      <c r="G3841" s="90">
        <f>IF(F3839="","",(SUM(G3839:G3840)))</f>
        <v>15.099</v>
      </c>
    </row>
    <row r="3842" spans="1:11">
      <c r="A3842" s="91"/>
      <c r="B3842" s="92"/>
      <c r="C3842" s="162"/>
      <c r="D3842" s="92"/>
      <c r="E3842" s="97"/>
      <c r="F3842" s="98"/>
      <c r="G3842" s="96"/>
    </row>
    <row r="3843" spans="1:11">
      <c r="A3843" s="835" t="s">
        <v>1912</v>
      </c>
      <c r="B3843" s="836"/>
      <c r="C3843" s="836"/>
      <c r="D3843" s="836"/>
      <c r="E3843" s="836"/>
      <c r="F3843" s="836"/>
      <c r="G3843" s="837"/>
    </row>
    <row r="3844" spans="1:11">
      <c r="A3844" s="84" t="s">
        <v>1903</v>
      </c>
      <c r="B3844" s="84" t="s">
        <v>131</v>
      </c>
      <c r="C3844" s="160" t="s">
        <v>1904</v>
      </c>
      <c r="D3844" s="84" t="s">
        <v>167</v>
      </c>
      <c r="E3844" s="85" t="s">
        <v>1905</v>
      </c>
      <c r="F3844" s="86" t="s">
        <v>1906</v>
      </c>
      <c r="G3844" s="86" t="s">
        <v>1907</v>
      </c>
    </row>
    <row r="3845" spans="1:11">
      <c r="A3845" s="87"/>
      <c r="B3845" s="87"/>
      <c r="C3845" s="278" t="str">
        <f>IF(B3845="","",IF($A$8="NÃO DESONERADO",(IF(A3845="SINAPI",VLOOKUP(B3845,#REF!,2,0),IF(A3845="SUDECAP",VLOOKUP(B3845,#REF!,3,0),IF(A3845="SETOP",VLOOKUP(B3845,#REF!,2,0),IF(A3845="COTAÇÃO",VLOOKUP(B3845,'Mapa Cotações'!$A:$N,2,0)))))),(IF(A3845="SINAPI",VLOOKUP(B3845,#REF!,2,0),IF(A3845="SUDECAP",VLOOKUP(B3845,#REF!,3,0),IF(A3845="SETOP",VLOOKUP(B3845,#REF!,2,0),IF(A3845="COTAÇÃO",VLOOKUP(B3845,'Mapa Cotações'!$A:$N,2,0))))))))</f>
        <v/>
      </c>
      <c r="D3845" s="89" t="str">
        <f>IF(B3845="","",IF($A$8="NÃO DESONERADO",(IF(A3845="SINAPI",VLOOKUP(B3845,#REF!,3,0),IF(A3845="SUDECAP",VLOOKUP(B3845,#REF!,4,0),IF(A3845="SETOP",VLOOKUP(B3845,#REF!,3,0),IF(A3845="COTAÇÃO",VLOOKUP(B3845,'Mapa Cotações'!$A:$N,3,0)))))),(IF(A3845="SINAPI",VLOOKUP(B3845,#REF!,3,0),IF(A3845="SUDECAP",VLOOKUP(B3845,#REF!,4,0),IF(A3845="SETOP",VLOOKUP(B3845,#REF!,3,0),IF(A3845="COTAÇÃO",VLOOKUP(B3845,'Mapa Cotações'!$A:$N,3,0))))))))</f>
        <v/>
      </c>
      <c r="E3845" s="88"/>
      <c r="F3845" s="89" t="str">
        <f>IF(B3845="","",IF($A$8="NÃO DESONERADO",(IF(A3845="SINAPI",VLOOKUP(B3845,#REF!,4,0),IF(A3845="SUDECAP",VLOOKUP(B3845,#REF!,5,0),IF(A3845="SETOP",VLOOKUP(B3845,#REF!,4,0),IF(A3845="COTAÇÃO",VLOOKUP(B3845,'Mapa Cotações'!$A:$N,13,0)))))),(IF(A3845="SINAPI",VLOOKUP(B3845,#REF!,4,0),IF(A3845="SUDECAP",VLOOKUP(B3845,#REF!,5,0),IF(A3845="SETOP",VLOOKUP(B3845,#REF!,4,0),IF(A3845="COTAÇÃO",VLOOKUP(B3845,'Mapa Cotações'!$A:$N,13,0))))))))</f>
        <v/>
      </c>
      <c r="G3845" s="89" t="str">
        <f>IF(D3845="","",E3845*F3845)</f>
        <v/>
      </c>
    </row>
    <row r="3846" spans="1:11">
      <c r="A3846" s="87"/>
      <c r="B3846" s="87"/>
      <c r="C3846" s="278" t="str">
        <f>IF(B3846="","",IF($A$8="NÃO DESONERADO",(IF(A3846="SINAPI",VLOOKUP(B3846,#REF!,2,0),IF(A3846="SUDECAP",VLOOKUP(B3846,#REF!,3,0),IF(A3846="SETOP",VLOOKUP(B3846,#REF!,2,0),IF(A3846="COTAÇÃO",VLOOKUP(B3846,'Mapa Cotações'!$A:$N,2,0)))))),(IF(A3846="SINAPI",VLOOKUP(B3846,#REF!,2,0),IF(A3846="SUDECAP",VLOOKUP(B3846,#REF!,3,0),IF(A3846="SETOP",VLOOKUP(B3846,#REF!,2,0),IF(A3846="COTAÇÃO",VLOOKUP(B3846,'Mapa Cotações'!$A:$N,2,0))))))))</f>
        <v/>
      </c>
      <c r="D3846" s="89" t="str">
        <f>IF(B3846="","",IF($A$8="NÃO DESONERADO",(IF(A3846="SINAPI",VLOOKUP(B3846,#REF!,3,0),IF(A3846="SUDECAP",VLOOKUP(B3846,#REF!,4,0),IF(A3846="SETOP",VLOOKUP(B3846,#REF!,3,0),IF(A3846="COTAÇÃO",VLOOKUP(B3846,'Mapa Cotações'!$A:$N,3,0)))))),(IF(A3846="SINAPI",VLOOKUP(B3846,#REF!,3,0),IF(A3846="SUDECAP",VLOOKUP(B3846,#REF!,4,0),IF(A3846="SETOP",VLOOKUP(B3846,#REF!,3,0),IF(A3846="COTAÇÃO",VLOOKUP(B3846,'Mapa Cotações'!$A:$N,3,0))))))))</f>
        <v/>
      </c>
      <c r="E3846" s="88"/>
      <c r="F3846" s="89" t="str">
        <f>IF(B3846="","",IF($A$8="NÃO DESONERADO",(IF(A3846="SINAPI",VLOOKUP(B3846,#REF!,4,0),IF(A3846="SUDECAP",VLOOKUP(B3846,#REF!,5,0),IF(A3846="SETOP",VLOOKUP(B3846,#REF!,4,0),IF(A3846="COTAÇÃO",VLOOKUP(B3846,'Mapa Cotações'!$A:$N,13,0)))))),(IF(A3846="SINAPI",VLOOKUP(B3846,#REF!,4,0),IF(A3846="SUDECAP",VLOOKUP(B3846,#REF!,5,0),IF(A3846="SETOP",VLOOKUP(B3846,#REF!,4,0),IF(A3846="COTAÇÃO",VLOOKUP(B3846,'Mapa Cotações'!$A:$N,13,0))))))))</f>
        <v/>
      </c>
      <c r="G3846" s="89" t="str">
        <f>IF(D3846="","",E3846*F3846)</f>
        <v/>
      </c>
    </row>
    <row r="3847" spans="1:11">
      <c r="A3847" s="832" t="s">
        <v>1908</v>
      </c>
      <c r="B3847" s="833" t="s">
        <v>1908</v>
      </c>
      <c r="C3847" s="833"/>
      <c r="D3847" s="833"/>
      <c r="E3847" s="833"/>
      <c r="F3847" s="834"/>
      <c r="G3847" s="90" t="str">
        <f>IF(F3845="","",(SUM(G3845:G3846)))</f>
        <v/>
      </c>
    </row>
    <row r="3848" spans="1:11" ht="13.5" thickBot="1">
      <c r="A3848" s="91"/>
      <c r="B3848" s="92"/>
      <c r="C3848" s="163"/>
      <c r="D3848" s="99"/>
      <c r="E3848" s="100"/>
      <c r="F3848" s="101"/>
      <c r="G3848" s="102"/>
    </row>
    <row r="3849" spans="1:11" ht="13.5" thickBot="1">
      <c r="A3849" s="838" t="s">
        <v>1259</v>
      </c>
      <c r="B3849" s="839"/>
      <c r="C3849" s="839"/>
      <c r="D3849" s="839"/>
      <c r="E3849" s="839"/>
      <c r="F3849" s="840"/>
      <c r="G3849" s="103">
        <f>SUM(G3835,G3841,G3847)</f>
        <v>44.379000000000005</v>
      </c>
    </row>
    <row r="3852" spans="1:11">
      <c r="A3852" s="237" t="s">
        <v>131</v>
      </c>
      <c r="B3852" s="190" t="s">
        <v>27</v>
      </c>
      <c r="C3852" s="841" t="s">
        <v>1281</v>
      </c>
      <c r="D3852" s="841"/>
      <c r="E3852" s="841"/>
      <c r="F3852" s="841"/>
      <c r="G3852" s="81" t="s">
        <v>127</v>
      </c>
      <c r="I3852" s="480" t="s">
        <v>1901</v>
      </c>
      <c r="J3852" s="80"/>
      <c r="K3852" s="80"/>
    </row>
    <row r="3853" spans="1:11" ht="50.1" customHeight="1">
      <c r="A3853" s="82" t="s">
        <v>1101</v>
      </c>
      <c r="B3853" s="82"/>
      <c r="C3853" s="830" t="s">
        <v>1102</v>
      </c>
      <c r="D3853" s="831"/>
      <c r="E3853" s="831"/>
      <c r="F3853" s="186">
        <f>G3872</f>
        <v>39.289000000000001</v>
      </c>
      <c r="G3853" s="83" t="s">
        <v>167</v>
      </c>
      <c r="I3853" s="481"/>
      <c r="J3853" s="272"/>
      <c r="K3853" s="272"/>
    </row>
    <row r="3854" spans="1:11">
      <c r="A3854" s="818" t="s">
        <v>1902</v>
      </c>
      <c r="B3854" s="819"/>
      <c r="C3854" s="819"/>
      <c r="D3854" s="819"/>
      <c r="E3854" s="819"/>
      <c r="F3854" s="819"/>
      <c r="G3854" s="820"/>
    </row>
    <row r="3855" spans="1:11">
      <c r="A3855" s="84" t="s">
        <v>1903</v>
      </c>
      <c r="B3855" s="84" t="s">
        <v>131</v>
      </c>
      <c r="C3855" s="160" t="s">
        <v>1904</v>
      </c>
      <c r="D3855" s="84" t="s">
        <v>167</v>
      </c>
      <c r="E3855" s="85" t="s">
        <v>1905</v>
      </c>
      <c r="F3855" s="86" t="s">
        <v>1906</v>
      </c>
      <c r="G3855" s="86" t="s">
        <v>1907</v>
      </c>
    </row>
    <row r="3856" spans="1:11" ht="36">
      <c r="A3856" s="87" t="s">
        <v>1917</v>
      </c>
      <c r="B3856" s="187" t="s">
        <v>2125</v>
      </c>
      <c r="C3856" s="278" t="str">
        <f>IF(B3856="","",IF($A$8="NÃO DESONERADO",(IF(A3856="SINAPI",VLOOKUP(B3856,#REF!,2,0),IF(A3856="SUDECAP",VLOOKUP(B3856,#REF!,3,0),IF(A3856="SETOP",VLOOKUP(B3856,#REF!,2,0),IF(A3856="COTAÇÃO",VLOOKUP(B3856,'Mapa Cotações'!$A:$N,2,0)))))),(IF(A3856="SINAPI",VLOOKUP(B3856,#REF!,2,0),IF(A3856="SUDECAP",VLOOKUP(B3856,#REF!,3,0),IF(A3856="SETOP",VLOOKUP(B3856,#REF!,2,0),IF(A3856="COTAÇÃO",VLOOKUP(B3856,'Mapa Cotações'!$A:$N,2,0))))))))</f>
        <v>COLARINHO EM CHAPA GALVANIZADA, PARA INTERLIGAR DUTO FLEXÍVEL AO DUTO PRINCIPAL, COM REGISTRO, Φ = 5", REF.: MULTIVAC OU EQUIVALENTE</v>
      </c>
      <c r="D3856" s="89" t="str">
        <f>IF(B3856="","",IF($A$8="NÃO DESONERADO",(IF(A3856="SINAPI",VLOOKUP(B3856,#REF!,3,0),IF(A3856="SUDECAP",VLOOKUP(B3856,#REF!,4,0),IF(A3856="SETOP",VLOOKUP(B3856,#REF!,3,0),IF(A3856="COTAÇÃO",VLOOKUP(B3856,'Mapa Cotações'!$A:$N,3,0)))))),(IF(A3856="SINAPI",VLOOKUP(B3856,#REF!,3,0),IF(A3856="SUDECAP",VLOOKUP(B3856,#REF!,4,0),IF(A3856="SETOP",VLOOKUP(B3856,#REF!,3,0),IF(A3856="COTAÇÃO",VLOOKUP(B3856,'Mapa Cotações'!$A:$N,3,0))))))))</f>
        <v>UN</v>
      </c>
      <c r="E3856" s="88">
        <v>1</v>
      </c>
      <c r="F3856" s="89">
        <f>IF(B3856="","",IF($A$8="NÃO DESONERADO",(IF(A3856="SINAPI",VLOOKUP(B3856,#REF!,4,0),IF(A3856="SUDECAP",VLOOKUP(B3856,#REF!,5,0),IF(A3856="SETOP",VLOOKUP(B3856,#REF!,4,0),IF(A3856="COTAÇÃO",VLOOKUP(B3856,'Mapa Cotações'!$A:$N,13,0)))))),(IF(A3856="SINAPI",VLOOKUP(B3856,#REF!,4,0),IF(A3856="SUDECAP",VLOOKUP(B3856,#REF!,5,0),IF(A3856="SETOP",VLOOKUP(B3856,#REF!,4,0),IF(A3856="COTAÇÃO",VLOOKUP(B3856,'Mapa Cotações'!$A:$N,13,0))))))))</f>
        <v>24.19</v>
      </c>
      <c r="G3856" s="89">
        <f>IF(D3856="","",E3856*F3856)</f>
        <v>24.19</v>
      </c>
    </row>
    <row r="3857" spans="1:7">
      <c r="A3857" s="87"/>
      <c r="B3857" s="87"/>
      <c r="C3857" s="278" t="str">
        <f>IF(B3857="","",IF($A$8="NÃO DESONERADO",(IF(A3857="SINAPI",VLOOKUP(B3857,#REF!,2,0),IF(A3857="SUDECAP",VLOOKUP(B3857,#REF!,3,0),IF(A3857="SETOP",VLOOKUP(B3857,#REF!,2,0),IF(A3857="COTAÇÃO",VLOOKUP(B3857,'Mapa Cotações'!$A:$N,2,0)))))),(IF(A3857="SINAPI",VLOOKUP(B3857,#REF!,2,0),IF(A3857="SUDECAP",VLOOKUP(B3857,#REF!,3,0),IF(A3857="SETOP",VLOOKUP(B3857,#REF!,2,0),IF(A3857="COTAÇÃO",VLOOKUP(B3857,'Mapa Cotações'!$A:$N,2,0))))))))</f>
        <v/>
      </c>
      <c r="D3857" s="89" t="str">
        <f>IF(B3857="","",IF($A$8="NÃO DESONERADO",(IF(A3857="SINAPI",VLOOKUP(B3857,#REF!,3,0),IF(A3857="SUDECAP",VLOOKUP(B3857,#REF!,4,0),IF(A3857="SETOP",VLOOKUP(B3857,#REF!,3,0),IF(A3857="COTAÇÃO",VLOOKUP(B3857,'Mapa Cotações'!$A:$N,3,0)))))),(IF(A3857="SINAPI",VLOOKUP(B3857,#REF!,3,0),IF(A3857="SUDECAP",VLOOKUP(B3857,#REF!,4,0),IF(A3857="SETOP",VLOOKUP(B3857,#REF!,3,0),IF(A3857="COTAÇÃO",VLOOKUP(B3857,'Mapa Cotações'!$A:$N,3,0))))))))</f>
        <v/>
      </c>
      <c r="E3857" s="88"/>
      <c r="F3857" s="89" t="str">
        <f>IF(B3857="","",IF($A$8="NÃO DESONERADO",(IF(A3857="SINAPI",VLOOKUP(B3857,#REF!,4,0),IF(A3857="SUDECAP",VLOOKUP(B3857,#REF!,5,0),IF(A3857="SETOP",VLOOKUP(B3857,#REF!,4,0),IF(A3857="COTAÇÃO",VLOOKUP(B3857,'Mapa Cotações'!$A:$N,13,0)))))),(IF(A3857="SINAPI",VLOOKUP(B3857,#REF!,4,0),IF(A3857="SUDECAP",VLOOKUP(B3857,#REF!,5,0),IF(A3857="SETOP",VLOOKUP(B3857,#REF!,4,0),IF(A3857="COTAÇÃO",VLOOKUP(B3857,'Mapa Cotações'!$A:$N,13,0))))))))</f>
        <v/>
      </c>
      <c r="G3857" s="89" t="str">
        <f>IF(D3857="","",E3857*F3857)</f>
        <v/>
      </c>
    </row>
    <row r="3858" spans="1:7">
      <c r="A3858" s="832" t="s">
        <v>1908</v>
      </c>
      <c r="B3858" s="833"/>
      <c r="C3858" s="833"/>
      <c r="D3858" s="833"/>
      <c r="E3858" s="833"/>
      <c r="F3858" s="834"/>
      <c r="G3858" s="90">
        <f>IF(F3856="","",(SUM(G3856:G3857)))</f>
        <v>24.19</v>
      </c>
    </row>
    <row r="3859" spans="1:7">
      <c r="A3859" s="91"/>
      <c r="B3859" s="92"/>
      <c r="C3859" s="161"/>
      <c r="D3859" s="93"/>
      <c r="E3859" s="94"/>
      <c r="F3859" s="95"/>
      <c r="G3859" s="96"/>
    </row>
    <row r="3860" spans="1:7">
      <c r="A3860" s="835" t="s">
        <v>1909</v>
      </c>
      <c r="B3860" s="836"/>
      <c r="C3860" s="836"/>
      <c r="D3860" s="836"/>
      <c r="E3860" s="836"/>
      <c r="F3860" s="836"/>
      <c r="G3860" s="837"/>
    </row>
    <row r="3861" spans="1:7">
      <c r="A3861" s="84" t="s">
        <v>1903</v>
      </c>
      <c r="B3861" s="84" t="s">
        <v>131</v>
      </c>
      <c r="C3861" s="160" t="s">
        <v>1904</v>
      </c>
      <c r="D3861" s="84" t="s">
        <v>167</v>
      </c>
      <c r="E3861" s="85" t="s">
        <v>1905</v>
      </c>
      <c r="F3861" s="86" t="s">
        <v>1906</v>
      </c>
      <c r="G3861" s="86" t="s">
        <v>1907</v>
      </c>
    </row>
    <row r="3862" spans="1:7" ht="24">
      <c r="A3862" s="87" t="s">
        <v>2</v>
      </c>
      <c r="B3862" s="87">
        <v>88243</v>
      </c>
      <c r="C3862" s="278" t="s">
        <v>2100</v>
      </c>
      <c r="D3862" s="89" t="s">
        <v>137</v>
      </c>
      <c r="E3862" s="88">
        <v>0.3</v>
      </c>
      <c r="F3862" s="89">
        <v>24.36</v>
      </c>
      <c r="G3862" s="89">
        <f>IF(D3862="","",E3862*F3862)</f>
        <v>7.3079999999999998</v>
      </c>
    </row>
    <row r="3863" spans="1:7" ht="24">
      <c r="A3863" s="87" t="s">
        <v>2</v>
      </c>
      <c r="B3863" s="87">
        <v>100308</v>
      </c>
      <c r="C3863" s="278" t="s">
        <v>1936</v>
      </c>
      <c r="D3863" s="89" t="s">
        <v>137</v>
      </c>
      <c r="E3863" s="88">
        <v>0.3</v>
      </c>
      <c r="F3863" s="89">
        <v>25.97</v>
      </c>
      <c r="G3863" s="89">
        <f>IF(D3863="","",E3863*F3863)</f>
        <v>7.7909999999999995</v>
      </c>
    </row>
    <row r="3864" spans="1:7">
      <c r="A3864" s="832" t="s">
        <v>1908</v>
      </c>
      <c r="B3864" s="833"/>
      <c r="C3864" s="833"/>
      <c r="D3864" s="833"/>
      <c r="E3864" s="833"/>
      <c r="F3864" s="834"/>
      <c r="G3864" s="90">
        <f>IF(F3862="","",(SUM(G3862:G3863)))</f>
        <v>15.099</v>
      </c>
    </row>
    <row r="3865" spans="1:7">
      <c r="A3865" s="91"/>
      <c r="B3865" s="92"/>
      <c r="C3865" s="162"/>
      <c r="D3865" s="92"/>
      <c r="E3865" s="97"/>
      <c r="F3865" s="98"/>
      <c r="G3865" s="96"/>
    </row>
    <row r="3866" spans="1:7">
      <c r="A3866" s="835" t="s">
        <v>1912</v>
      </c>
      <c r="B3866" s="836"/>
      <c r="C3866" s="836"/>
      <c r="D3866" s="836"/>
      <c r="E3866" s="836"/>
      <c r="F3866" s="836"/>
      <c r="G3866" s="837"/>
    </row>
    <row r="3867" spans="1:7">
      <c r="A3867" s="84" t="s">
        <v>1903</v>
      </c>
      <c r="B3867" s="84" t="s">
        <v>131</v>
      </c>
      <c r="C3867" s="160" t="s">
        <v>1904</v>
      </c>
      <c r="D3867" s="84" t="s">
        <v>167</v>
      </c>
      <c r="E3867" s="85" t="s">
        <v>1905</v>
      </c>
      <c r="F3867" s="86" t="s">
        <v>1906</v>
      </c>
      <c r="G3867" s="86" t="s">
        <v>1907</v>
      </c>
    </row>
    <row r="3868" spans="1:7">
      <c r="A3868" s="87"/>
      <c r="B3868" s="87"/>
      <c r="C3868" s="278" t="str">
        <f>IF(B3868="","",IF($A$8="NÃO DESONERADO",(IF(A3868="SINAPI",VLOOKUP(B3868,#REF!,2,0),IF(A3868="SUDECAP",VLOOKUP(B3868,#REF!,3,0),IF(A3868="SETOP",VLOOKUP(B3868,#REF!,2,0),IF(A3868="COTAÇÃO",VLOOKUP(B3868,'Mapa Cotações'!$A:$N,2,0)))))),(IF(A3868="SINAPI",VLOOKUP(B3868,#REF!,2,0),IF(A3868="SUDECAP",VLOOKUP(B3868,#REF!,3,0),IF(A3868="SETOP",VLOOKUP(B3868,#REF!,2,0),IF(A3868="COTAÇÃO",VLOOKUP(B3868,'Mapa Cotações'!$A:$N,2,0))))))))</f>
        <v/>
      </c>
      <c r="D3868" s="89" t="str">
        <f>IF(B3868="","",IF($A$8="NÃO DESONERADO",(IF(A3868="SINAPI",VLOOKUP(B3868,#REF!,3,0),IF(A3868="SUDECAP",VLOOKUP(B3868,#REF!,4,0),IF(A3868="SETOP",VLOOKUP(B3868,#REF!,3,0),IF(A3868="COTAÇÃO",VLOOKUP(B3868,'Mapa Cotações'!$A:$N,3,0)))))),(IF(A3868="SINAPI",VLOOKUP(B3868,#REF!,3,0),IF(A3868="SUDECAP",VLOOKUP(B3868,#REF!,4,0),IF(A3868="SETOP",VLOOKUP(B3868,#REF!,3,0),IF(A3868="COTAÇÃO",VLOOKUP(B3868,'Mapa Cotações'!$A:$N,3,0))))))))</f>
        <v/>
      </c>
      <c r="E3868" s="88"/>
      <c r="F3868" s="89" t="str">
        <f>IF(B3868="","",IF($A$8="NÃO DESONERADO",(IF(A3868="SINAPI",VLOOKUP(B3868,#REF!,4,0),IF(A3868="SUDECAP",VLOOKUP(B3868,#REF!,5,0),IF(A3868="SETOP",VLOOKUP(B3868,#REF!,4,0),IF(A3868="COTAÇÃO",VLOOKUP(B3868,'Mapa Cotações'!$A:$N,13,0)))))),(IF(A3868="SINAPI",VLOOKUP(B3868,#REF!,4,0),IF(A3868="SUDECAP",VLOOKUP(B3868,#REF!,5,0),IF(A3868="SETOP",VLOOKUP(B3868,#REF!,4,0),IF(A3868="COTAÇÃO",VLOOKUP(B3868,'Mapa Cotações'!$A:$N,13,0))))))))</f>
        <v/>
      </c>
      <c r="G3868" s="89" t="str">
        <f>IF(D3868="","",E3868*F3868)</f>
        <v/>
      </c>
    </row>
    <row r="3869" spans="1:7">
      <c r="A3869" s="87"/>
      <c r="B3869" s="87"/>
      <c r="C3869" s="278" t="str">
        <f>IF(B3869="","",IF($A$8="NÃO DESONERADO",(IF(A3869="SINAPI",VLOOKUP(B3869,#REF!,2,0),IF(A3869="SUDECAP",VLOOKUP(B3869,#REF!,3,0),IF(A3869="SETOP",VLOOKUP(B3869,#REF!,2,0),IF(A3869="COTAÇÃO",VLOOKUP(B3869,'Mapa Cotações'!$A:$N,2,0)))))),(IF(A3869="SINAPI",VLOOKUP(B3869,#REF!,2,0),IF(A3869="SUDECAP",VLOOKUP(B3869,#REF!,3,0),IF(A3869="SETOP",VLOOKUP(B3869,#REF!,2,0),IF(A3869="COTAÇÃO",VLOOKUP(B3869,'Mapa Cotações'!$A:$N,2,0))))))))</f>
        <v/>
      </c>
      <c r="D3869" s="89" t="str">
        <f>IF(B3869="","",IF($A$8="NÃO DESONERADO",(IF(A3869="SINAPI",VLOOKUP(B3869,#REF!,3,0),IF(A3869="SUDECAP",VLOOKUP(B3869,#REF!,4,0),IF(A3869="SETOP",VLOOKUP(B3869,#REF!,3,0),IF(A3869="COTAÇÃO",VLOOKUP(B3869,'Mapa Cotações'!$A:$N,3,0)))))),(IF(A3869="SINAPI",VLOOKUP(B3869,#REF!,3,0),IF(A3869="SUDECAP",VLOOKUP(B3869,#REF!,4,0),IF(A3869="SETOP",VLOOKUP(B3869,#REF!,3,0),IF(A3869="COTAÇÃO",VLOOKUP(B3869,'Mapa Cotações'!$A:$N,3,0))))))))</f>
        <v/>
      </c>
      <c r="E3869" s="88"/>
      <c r="F3869" s="89" t="str">
        <f>IF(B3869="","",IF($A$8="NÃO DESONERADO",(IF(A3869="SINAPI",VLOOKUP(B3869,#REF!,4,0),IF(A3869="SUDECAP",VLOOKUP(B3869,#REF!,5,0),IF(A3869="SETOP",VLOOKUP(B3869,#REF!,4,0),IF(A3869="COTAÇÃO",VLOOKUP(B3869,'Mapa Cotações'!$A:$N,13,0)))))),(IF(A3869="SINAPI",VLOOKUP(B3869,#REF!,4,0),IF(A3869="SUDECAP",VLOOKUP(B3869,#REF!,5,0),IF(A3869="SETOP",VLOOKUP(B3869,#REF!,4,0),IF(A3869="COTAÇÃO",VLOOKUP(B3869,'Mapa Cotações'!$A:$N,13,0))))))))</f>
        <v/>
      </c>
      <c r="G3869" s="89" t="str">
        <f>IF(D3869="","",E3869*F3869)</f>
        <v/>
      </c>
    </row>
    <row r="3870" spans="1:7">
      <c r="A3870" s="832" t="s">
        <v>1908</v>
      </c>
      <c r="B3870" s="833" t="s">
        <v>1908</v>
      </c>
      <c r="C3870" s="833"/>
      <c r="D3870" s="833"/>
      <c r="E3870" s="833"/>
      <c r="F3870" s="834"/>
      <c r="G3870" s="90" t="str">
        <f>IF(F3868="","",(SUM(G3868:G3869)))</f>
        <v/>
      </c>
    </row>
    <row r="3871" spans="1:7" ht="13.5" thickBot="1">
      <c r="A3871" s="91"/>
      <c r="B3871" s="92"/>
      <c r="C3871" s="163"/>
      <c r="D3871" s="99"/>
      <c r="E3871" s="100"/>
      <c r="F3871" s="101"/>
      <c r="G3871" s="102"/>
    </row>
    <row r="3872" spans="1:7" ht="13.5" thickBot="1">
      <c r="A3872" s="838" t="s">
        <v>1259</v>
      </c>
      <c r="B3872" s="839"/>
      <c r="C3872" s="839"/>
      <c r="D3872" s="839"/>
      <c r="E3872" s="839"/>
      <c r="F3872" s="840"/>
      <c r="G3872" s="103">
        <f>SUM(G3858,G3864,G3870)</f>
        <v>39.289000000000001</v>
      </c>
    </row>
    <row r="3875" spans="1:11">
      <c r="A3875" s="237" t="s">
        <v>131</v>
      </c>
      <c r="B3875" s="190" t="s">
        <v>27</v>
      </c>
      <c r="C3875" s="841" t="s">
        <v>1281</v>
      </c>
      <c r="D3875" s="841"/>
      <c r="E3875" s="841"/>
      <c r="F3875" s="841"/>
      <c r="G3875" s="81" t="s">
        <v>127</v>
      </c>
      <c r="I3875" s="480" t="s">
        <v>1901</v>
      </c>
      <c r="J3875" s="80"/>
      <c r="K3875" s="80"/>
    </row>
    <row r="3876" spans="1:11" ht="64.5" customHeight="1">
      <c r="A3876" s="179" t="s">
        <v>1106</v>
      </c>
      <c r="B3876" s="82"/>
      <c r="C3876" s="830" t="s">
        <v>1107</v>
      </c>
      <c r="D3876" s="831"/>
      <c r="E3876" s="831"/>
      <c r="F3876" s="186">
        <f>G3895</f>
        <v>1297.6976697</v>
      </c>
      <c r="G3876" s="83" t="s">
        <v>167</v>
      </c>
      <c r="I3876" s="481"/>
      <c r="J3876" s="272"/>
      <c r="K3876" s="272"/>
    </row>
    <row r="3877" spans="1:11">
      <c r="A3877" s="818" t="s">
        <v>1902</v>
      </c>
      <c r="B3877" s="819"/>
      <c r="C3877" s="819"/>
      <c r="D3877" s="819"/>
      <c r="E3877" s="819"/>
      <c r="F3877" s="819"/>
      <c r="G3877" s="820"/>
    </row>
    <row r="3878" spans="1:11">
      <c r="A3878" s="84" t="s">
        <v>1903</v>
      </c>
      <c r="B3878" s="84" t="s">
        <v>131</v>
      </c>
      <c r="C3878" s="160" t="s">
        <v>1904</v>
      </c>
      <c r="D3878" s="84" t="s">
        <v>167</v>
      </c>
      <c r="E3878" s="85" t="s">
        <v>1905</v>
      </c>
      <c r="F3878" s="86" t="s">
        <v>1906</v>
      </c>
      <c r="G3878" s="86" t="s">
        <v>1907</v>
      </c>
    </row>
    <row r="3879" spans="1:11" ht="36">
      <c r="A3879" s="87" t="s">
        <v>1917</v>
      </c>
      <c r="B3879" s="187" t="s">
        <v>2126</v>
      </c>
      <c r="C3879" s="278" t="str">
        <f>IF(B3879="","",IF($A$8="NÃO DESONERADO",(IF(A3879="SINAPI",VLOOKUP(B3879,#REF!,2,0),IF(A3879="SUDECAP",VLOOKUP(B3879,#REF!,3,0),IF(A3879="SETOP",VLOOKUP(B3879,#REF!,2,0),IF(A3879="COTAÇÃO",VLOOKUP(B3879,'Mapa Cotações'!$A:$N,2,0)))))),(IF(A3879="SINAPI",VLOOKUP(B3879,#REF!,2,0),IF(A3879="SUDECAP",VLOOKUP(B3879,#REF!,3,0),IF(A3879="SETOP",VLOOKUP(B3879,#REF!,2,0),IF(A3879="COTAÇÃO",VLOOKUP(B3879,'Mapa Cotações'!$A:$N,2,0))))))))</f>
        <v>TOMADA DE AR EXTERNO COM VENEZIANA, REGISTRO E FILTRO DE AR MODELO VDF-754, B=697, H=697. REF.: TROX OU EQUIVALENTE</v>
      </c>
      <c r="D3879" s="89" t="str">
        <f>IF(B3879="","",IF($A$8="NÃO DESONERADO",(IF(A3879="SINAPI",VLOOKUP(B3879,#REF!,3,0),IF(A3879="SUDECAP",VLOOKUP(B3879,#REF!,4,0),IF(A3879="SETOP",VLOOKUP(B3879,#REF!,3,0),IF(A3879="COTAÇÃO",VLOOKUP(B3879,'Mapa Cotações'!$A:$N,3,0)))))),(IF(A3879="SINAPI",VLOOKUP(B3879,#REF!,3,0),IF(A3879="SUDECAP",VLOOKUP(B3879,#REF!,4,0),IF(A3879="SETOP",VLOOKUP(B3879,#REF!,3,0),IF(A3879="COTAÇÃO",VLOOKUP(B3879,'Mapa Cotações'!$A:$N,3,0))))))))</f>
        <v>UN</v>
      </c>
      <c r="E3879" s="88">
        <v>1</v>
      </c>
      <c r="F3879" s="89">
        <f>IF(B3879="","",IF($A$8="NÃO DESONERADO",(IF(A3879="SINAPI",VLOOKUP(B3879,#REF!,4,0),IF(A3879="SUDECAP",VLOOKUP(B3879,#REF!,5,0),IF(A3879="SETOP",VLOOKUP(B3879,#REF!,4,0),IF(A3879="COTAÇÃO",VLOOKUP(B3879,'Mapa Cotações'!$A:$N,13,0)))))),(IF(A3879="SINAPI",VLOOKUP(B3879,#REF!,4,0),IF(A3879="SUDECAP",VLOOKUP(B3879,#REF!,5,0),IF(A3879="SETOP",VLOOKUP(B3879,#REF!,4,0),IF(A3879="COTAÇÃO",VLOOKUP(B3879,'Mapa Cotações'!$A:$N,13,0))))))))</f>
        <v>1053.19</v>
      </c>
      <c r="G3879" s="89">
        <f>IF(D3879="","",E3879*F3879)</f>
        <v>1053.19</v>
      </c>
    </row>
    <row r="3880" spans="1:11">
      <c r="A3880" s="87"/>
      <c r="B3880" s="87"/>
      <c r="C3880" s="278" t="str">
        <f>IF(B3880="","",IF($A$8="NÃO DESONERADO",(IF(A3880="SINAPI",VLOOKUP(B3880,#REF!,2,0),IF(A3880="SUDECAP",VLOOKUP(B3880,#REF!,3,0),IF(A3880="SETOP",VLOOKUP(B3880,#REF!,2,0),IF(A3880="COTAÇÃO",VLOOKUP(B3880,'Mapa Cotações'!$A:$N,2,0)))))),(IF(A3880="SINAPI",VLOOKUP(B3880,#REF!,2,0),IF(A3880="SUDECAP",VLOOKUP(B3880,#REF!,3,0),IF(A3880="SETOP",VLOOKUP(B3880,#REF!,2,0),IF(A3880="COTAÇÃO",VLOOKUP(B3880,'Mapa Cotações'!$A:$N,2,0))))))))</f>
        <v/>
      </c>
      <c r="D3880" s="89" t="str">
        <f>IF(B3880="","",IF($A$8="NÃO DESONERADO",(IF(A3880="SINAPI",VLOOKUP(B3880,#REF!,3,0),IF(A3880="SUDECAP",VLOOKUP(B3880,#REF!,4,0),IF(A3880="SETOP",VLOOKUP(B3880,#REF!,3,0),IF(A3880="COTAÇÃO",VLOOKUP(B3880,'Mapa Cotações'!$A:$N,3,0)))))),(IF(A3880="SINAPI",VLOOKUP(B3880,#REF!,3,0),IF(A3880="SUDECAP",VLOOKUP(B3880,#REF!,4,0),IF(A3880="SETOP",VLOOKUP(B3880,#REF!,3,0),IF(A3880="COTAÇÃO",VLOOKUP(B3880,'Mapa Cotações'!$A:$N,3,0))))))))</f>
        <v/>
      </c>
      <c r="E3880" s="88"/>
      <c r="F3880" s="89" t="str">
        <f>IF(B3880="","",IF($A$8="NÃO DESONERADO",(IF(A3880="SINAPI",VLOOKUP(B3880,#REF!,4,0),IF(A3880="SUDECAP",VLOOKUP(B3880,#REF!,5,0),IF(A3880="SETOP",VLOOKUP(B3880,#REF!,4,0),IF(A3880="COTAÇÃO",VLOOKUP(B3880,'Mapa Cotações'!$A:$N,13,0)))))),(IF(A3880="SINAPI",VLOOKUP(B3880,#REF!,4,0),IF(A3880="SUDECAP",VLOOKUP(B3880,#REF!,5,0),IF(A3880="SETOP",VLOOKUP(B3880,#REF!,4,0),IF(A3880="COTAÇÃO",VLOOKUP(B3880,'Mapa Cotações'!$A:$N,13,0))))))))</f>
        <v/>
      </c>
      <c r="G3880" s="89" t="str">
        <f>IF(D3880="","",E3880*F3880)</f>
        <v/>
      </c>
    </row>
    <row r="3881" spans="1:11">
      <c r="A3881" s="832" t="s">
        <v>1908</v>
      </c>
      <c r="B3881" s="833"/>
      <c r="C3881" s="833"/>
      <c r="D3881" s="833"/>
      <c r="E3881" s="833"/>
      <c r="F3881" s="834"/>
      <c r="G3881" s="90">
        <f>IF(F3879="","",(SUM(G3879:G3880)))</f>
        <v>1053.19</v>
      </c>
    </row>
    <row r="3882" spans="1:11">
      <c r="A3882" s="91"/>
      <c r="B3882" s="92"/>
      <c r="C3882" s="161"/>
      <c r="D3882" s="93"/>
      <c r="E3882" s="94"/>
      <c r="F3882" s="95"/>
      <c r="G3882" s="96"/>
    </row>
    <row r="3883" spans="1:11">
      <c r="A3883" s="835" t="s">
        <v>1909</v>
      </c>
      <c r="B3883" s="836"/>
      <c r="C3883" s="836"/>
      <c r="D3883" s="836"/>
      <c r="E3883" s="836"/>
      <c r="F3883" s="836"/>
      <c r="G3883" s="837"/>
    </row>
    <row r="3884" spans="1:11">
      <c r="A3884" s="84" t="s">
        <v>1903</v>
      </c>
      <c r="B3884" s="84" t="s">
        <v>131</v>
      </c>
      <c r="C3884" s="160" t="s">
        <v>1904</v>
      </c>
      <c r="D3884" s="84" t="s">
        <v>167</v>
      </c>
      <c r="E3884" s="85" t="s">
        <v>1905</v>
      </c>
      <c r="F3884" s="86" t="s">
        <v>1906</v>
      </c>
      <c r="G3884" s="86" t="s">
        <v>1907</v>
      </c>
    </row>
    <row r="3885" spans="1:11" ht="24">
      <c r="A3885" s="87" t="s">
        <v>2</v>
      </c>
      <c r="B3885" s="87">
        <v>88243</v>
      </c>
      <c r="C3885" s="278" t="s">
        <v>2100</v>
      </c>
      <c r="D3885" s="89" t="s">
        <v>137</v>
      </c>
      <c r="E3885" s="88">
        <f>10*(0.697*0.697)</f>
        <v>4.8580899999999989</v>
      </c>
      <c r="F3885" s="89">
        <v>24.36</v>
      </c>
      <c r="G3885" s="89">
        <f>IF(D3885="","",E3885*F3885)</f>
        <v>118.34307239999997</v>
      </c>
    </row>
    <row r="3886" spans="1:11" ht="24">
      <c r="A3886" s="87" t="s">
        <v>2</v>
      </c>
      <c r="B3886" s="87">
        <v>100308</v>
      </c>
      <c r="C3886" s="278" t="s">
        <v>1936</v>
      </c>
      <c r="D3886" s="89" t="s">
        <v>137</v>
      </c>
      <c r="E3886" s="88">
        <f>10*(0.697*0.697)</f>
        <v>4.8580899999999989</v>
      </c>
      <c r="F3886" s="89">
        <v>25.97</v>
      </c>
      <c r="G3886" s="89">
        <f>IF(D3886="","",E3886*F3886)</f>
        <v>126.16459729999997</v>
      </c>
    </row>
    <row r="3887" spans="1:11">
      <c r="A3887" s="832" t="s">
        <v>1908</v>
      </c>
      <c r="B3887" s="833"/>
      <c r="C3887" s="833"/>
      <c r="D3887" s="833"/>
      <c r="E3887" s="833"/>
      <c r="F3887" s="834"/>
      <c r="G3887" s="90">
        <f>IF(F3885="","",(SUM(G3885:G3886)))</f>
        <v>244.50766969999995</v>
      </c>
    </row>
    <row r="3888" spans="1:11">
      <c r="A3888" s="91"/>
      <c r="B3888" s="92"/>
      <c r="C3888" s="162"/>
      <c r="D3888" s="92"/>
      <c r="E3888" s="97"/>
      <c r="F3888" s="98"/>
      <c r="G3888" s="96"/>
    </row>
    <row r="3889" spans="1:11">
      <c r="A3889" s="835" t="s">
        <v>1912</v>
      </c>
      <c r="B3889" s="836"/>
      <c r="C3889" s="836"/>
      <c r="D3889" s="836"/>
      <c r="E3889" s="836"/>
      <c r="F3889" s="836"/>
      <c r="G3889" s="837"/>
    </row>
    <row r="3890" spans="1:11">
      <c r="A3890" s="84" t="s">
        <v>1903</v>
      </c>
      <c r="B3890" s="84" t="s">
        <v>131</v>
      </c>
      <c r="C3890" s="160" t="s">
        <v>1904</v>
      </c>
      <c r="D3890" s="84" t="s">
        <v>167</v>
      </c>
      <c r="E3890" s="85" t="s">
        <v>1905</v>
      </c>
      <c r="F3890" s="86" t="s">
        <v>1906</v>
      </c>
      <c r="G3890" s="86" t="s">
        <v>1907</v>
      </c>
    </row>
    <row r="3891" spans="1:11">
      <c r="A3891" s="87"/>
      <c r="B3891" s="87"/>
      <c r="C3891" s="278" t="str">
        <f>IF(B3891="","",IF($A$8="NÃO DESONERADO",(IF(A3891="SINAPI",VLOOKUP(B3891,#REF!,2,0),IF(A3891="SUDECAP",VLOOKUP(B3891,#REF!,3,0),IF(A3891="SETOP",VLOOKUP(B3891,#REF!,2,0),IF(A3891="COTAÇÃO",VLOOKUP(B3891,'Mapa Cotações'!$A:$N,2,0)))))),(IF(A3891="SINAPI",VLOOKUP(B3891,#REF!,2,0),IF(A3891="SUDECAP",VLOOKUP(B3891,#REF!,3,0),IF(A3891="SETOP",VLOOKUP(B3891,#REF!,2,0),IF(A3891="COTAÇÃO",VLOOKUP(B3891,'Mapa Cotações'!$A:$N,2,0))))))))</f>
        <v/>
      </c>
      <c r="D3891" s="89" t="str">
        <f>IF(B3891="","",IF($A$8="NÃO DESONERADO",(IF(A3891="SINAPI",VLOOKUP(B3891,#REF!,3,0),IF(A3891="SUDECAP",VLOOKUP(B3891,#REF!,4,0),IF(A3891="SETOP",VLOOKUP(B3891,#REF!,3,0),IF(A3891="COTAÇÃO",VLOOKUP(B3891,'Mapa Cotações'!$A:$N,3,0)))))),(IF(A3891="SINAPI",VLOOKUP(B3891,#REF!,3,0),IF(A3891="SUDECAP",VLOOKUP(B3891,#REF!,4,0),IF(A3891="SETOP",VLOOKUP(B3891,#REF!,3,0),IF(A3891="COTAÇÃO",VLOOKUP(B3891,'Mapa Cotações'!$A:$N,3,0))))))))</f>
        <v/>
      </c>
      <c r="E3891" s="88"/>
      <c r="F3891" s="89" t="str">
        <f>IF(B3891="","",IF($A$8="NÃO DESONERADO",(IF(A3891="SINAPI",VLOOKUP(B3891,#REF!,4,0),IF(A3891="SUDECAP",VLOOKUP(B3891,#REF!,5,0),IF(A3891="SETOP",VLOOKUP(B3891,#REF!,4,0),IF(A3891="COTAÇÃO",VLOOKUP(B3891,'Mapa Cotações'!$A:$N,13,0)))))),(IF(A3891="SINAPI",VLOOKUP(B3891,#REF!,4,0),IF(A3891="SUDECAP",VLOOKUP(B3891,#REF!,5,0),IF(A3891="SETOP",VLOOKUP(B3891,#REF!,4,0),IF(A3891="COTAÇÃO",VLOOKUP(B3891,'Mapa Cotações'!$A:$N,13,0))))))))</f>
        <v/>
      </c>
      <c r="G3891" s="89" t="str">
        <f>IF(D3891="","",E3891*F3891)</f>
        <v/>
      </c>
    </row>
    <row r="3892" spans="1:11">
      <c r="A3892" s="87"/>
      <c r="B3892" s="87"/>
      <c r="C3892" s="278" t="str">
        <f>IF(B3892="","",IF($A$8="NÃO DESONERADO",(IF(A3892="SINAPI",VLOOKUP(B3892,#REF!,2,0),IF(A3892="SUDECAP",VLOOKUP(B3892,#REF!,3,0),IF(A3892="SETOP",VLOOKUP(B3892,#REF!,2,0),IF(A3892="COTAÇÃO",VLOOKUP(B3892,'Mapa Cotações'!$A:$N,2,0)))))),(IF(A3892="SINAPI",VLOOKUP(B3892,#REF!,2,0),IF(A3892="SUDECAP",VLOOKUP(B3892,#REF!,3,0),IF(A3892="SETOP",VLOOKUP(B3892,#REF!,2,0),IF(A3892="COTAÇÃO",VLOOKUP(B3892,'Mapa Cotações'!$A:$N,2,0))))))))</f>
        <v/>
      </c>
      <c r="D3892" s="89" t="str">
        <f>IF(B3892="","",IF($A$8="NÃO DESONERADO",(IF(A3892="SINAPI",VLOOKUP(B3892,#REF!,3,0),IF(A3892="SUDECAP",VLOOKUP(B3892,#REF!,4,0),IF(A3892="SETOP",VLOOKUP(B3892,#REF!,3,0),IF(A3892="COTAÇÃO",VLOOKUP(B3892,'Mapa Cotações'!$A:$N,3,0)))))),(IF(A3892="SINAPI",VLOOKUP(B3892,#REF!,3,0),IF(A3892="SUDECAP",VLOOKUP(B3892,#REF!,4,0),IF(A3892="SETOP",VLOOKUP(B3892,#REF!,3,0),IF(A3892="COTAÇÃO",VLOOKUP(B3892,'Mapa Cotações'!$A:$N,3,0))))))))</f>
        <v/>
      </c>
      <c r="E3892" s="88"/>
      <c r="F3892" s="89" t="str">
        <f>IF(B3892="","",IF($A$8="NÃO DESONERADO",(IF(A3892="SINAPI",VLOOKUP(B3892,#REF!,4,0),IF(A3892="SUDECAP",VLOOKUP(B3892,#REF!,5,0),IF(A3892="SETOP",VLOOKUP(B3892,#REF!,4,0),IF(A3892="COTAÇÃO",VLOOKUP(B3892,'Mapa Cotações'!$A:$N,13,0)))))),(IF(A3892="SINAPI",VLOOKUP(B3892,#REF!,4,0),IF(A3892="SUDECAP",VLOOKUP(B3892,#REF!,5,0),IF(A3892="SETOP",VLOOKUP(B3892,#REF!,4,0),IF(A3892="COTAÇÃO",VLOOKUP(B3892,'Mapa Cotações'!$A:$N,13,0))))))))</f>
        <v/>
      </c>
      <c r="G3892" s="89" t="str">
        <f>IF(D3892="","",E3892*F3892)</f>
        <v/>
      </c>
    </row>
    <row r="3893" spans="1:11">
      <c r="A3893" s="832" t="s">
        <v>1908</v>
      </c>
      <c r="B3893" s="833" t="s">
        <v>1908</v>
      </c>
      <c r="C3893" s="833"/>
      <c r="D3893" s="833"/>
      <c r="E3893" s="833"/>
      <c r="F3893" s="834"/>
      <c r="G3893" s="90" t="str">
        <f>IF(F3891="","",(SUM(G3891:G3892)))</f>
        <v/>
      </c>
    </row>
    <row r="3894" spans="1:11" ht="13.5" thickBot="1">
      <c r="A3894" s="91"/>
      <c r="B3894" s="92"/>
      <c r="C3894" s="163"/>
      <c r="D3894" s="99"/>
      <c r="E3894" s="100"/>
      <c r="F3894" s="101"/>
      <c r="G3894" s="102"/>
    </row>
    <row r="3895" spans="1:11" ht="13.5" thickBot="1">
      <c r="A3895" s="838" t="s">
        <v>1259</v>
      </c>
      <c r="B3895" s="839"/>
      <c r="C3895" s="839"/>
      <c r="D3895" s="839"/>
      <c r="E3895" s="839"/>
      <c r="F3895" s="840"/>
      <c r="G3895" s="103">
        <f>SUM(G3881,G3887,G3893)</f>
        <v>1297.6976697</v>
      </c>
    </row>
    <row r="3898" spans="1:11">
      <c r="A3898" s="237" t="s">
        <v>131</v>
      </c>
      <c r="B3898" s="190" t="s">
        <v>27</v>
      </c>
      <c r="C3898" s="841" t="s">
        <v>1281</v>
      </c>
      <c r="D3898" s="841"/>
      <c r="E3898" s="841"/>
      <c r="F3898" s="841"/>
      <c r="G3898" s="81" t="s">
        <v>127</v>
      </c>
      <c r="I3898" s="480" t="s">
        <v>1901</v>
      </c>
      <c r="J3898" s="80"/>
      <c r="K3898" s="80"/>
    </row>
    <row r="3899" spans="1:11" ht="64.5" customHeight="1">
      <c r="A3899" s="179" t="s">
        <v>1111</v>
      </c>
      <c r="B3899" s="82"/>
      <c r="C3899" s="830" t="s">
        <v>1112</v>
      </c>
      <c r="D3899" s="831"/>
      <c r="E3899" s="831"/>
      <c r="F3899" s="186">
        <f>G3918</f>
        <v>131.8771897</v>
      </c>
      <c r="G3899" s="83" t="s">
        <v>167</v>
      </c>
      <c r="I3899" s="481"/>
      <c r="J3899" s="272"/>
      <c r="K3899" s="272"/>
    </row>
    <row r="3900" spans="1:11">
      <c r="A3900" s="818" t="s">
        <v>1902</v>
      </c>
      <c r="B3900" s="819"/>
      <c r="C3900" s="819"/>
      <c r="D3900" s="819"/>
      <c r="E3900" s="819"/>
      <c r="F3900" s="819"/>
      <c r="G3900" s="820"/>
    </row>
    <row r="3901" spans="1:11">
      <c r="A3901" s="84" t="s">
        <v>1903</v>
      </c>
      <c r="B3901" s="84" t="s">
        <v>131</v>
      </c>
      <c r="C3901" s="160" t="s">
        <v>1904</v>
      </c>
      <c r="D3901" s="84" t="s">
        <v>167</v>
      </c>
      <c r="E3901" s="85" t="s">
        <v>1905</v>
      </c>
      <c r="F3901" s="86" t="s">
        <v>1906</v>
      </c>
      <c r="G3901" s="86" t="s">
        <v>1907</v>
      </c>
    </row>
    <row r="3902" spans="1:11" ht="36">
      <c r="A3902" s="87" t="s">
        <v>1917</v>
      </c>
      <c r="B3902" s="187" t="s">
        <v>2127</v>
      </c>
      <c r="C3902" s="278" t="str">
        <f>IF(B3902="","",IF($A$8="NÃO DESONERADO",(IF(A3902="SINAPI",VLOOKUP(B3902,#REF!,2,0),IF(A3902="SUDECAP",VLOOKUP(B3902,#REF!,3,0),IF(A3902="SETOP",VLOOKUP(B3902,#REF!,2,0),IF(A3902="COTAÇÃO",VLOOKUP(B3902,'Mapa Cotações'!$A:$N,2,0)))))),(IF(A3902="SINAPI",VLOOKUP(B3902,#REF!,2,0),IF(A3902="SUDECAP",VLOOKUP(B3902,#REF!,3,0),IF(A3902="SETOP",VLOOKUP(B3902,#REF!,2,0),IF(A3902="COTAÇÃO",VLOOKUP(B3902,'Mapa Cotações'!$A:$N,2,0))))))))</f>
        <v>VENEZIANA EM ALUMÍNIO COM TELA PROTETORA DE PLÁSTICO,  MODELO AWK, L=397, H=197 . REF.: TROX OU EQUIVALENTE</v>
      </c>
      <c r="D3902" s="89" t="str">
        <f>IF(B3902="","",IF($A$8="NÃO DESONERADO",(IF(A3902="SINAPI",VLOOKUP(B3902,#REF!,3,0),IF(A3902="SUDECAP",VLOOKUP(B3902,#REF!,4,0),IF(A3902="SETOP",VLOOKUP(B3902,#REF!,3,0),IF(A3902="COTAÇÃO",VLOOKUP(B3902,'Mapa Cotações'!$A:$N,3,0)))))),(IF(A3902="SINAPI",VLOOKUP(B3902,#REF!,3,0),IF(A3902="SUDECAP",VLOOKUP(B3902,#REF!,4,0),IF(A3902="SETOP",VLOOKUP(B3902,#REF!,3,0),IF(A3902="COTAÇÃO",VLOOKUP(B3902,'Mapa Cotações'!$A:$N,3,0))))))))</f>
        <v>UN</v>
      </c>
      <c r="E3902" s="88">
        <v>1</v>
      </c>
      <c r="F3902" s="89">
        <f>IF(B3902="","",IF($A$8="NÃO DESONERADO",(IF(A3902="SINAPI",VLOOKUP(B3902,#REF!,4,0),IF(A3902="SUDECAP",VLOOKUP(B3902,#REF!,5,0),IF(A3902="SETOP",VLOOKUP(B3902,#REF!,4,0),IF(A3902="COTAÇÃO",VLOOKUP(B3902,'Mapa Cotações'!$A:$N,13,0)))))),(IF(A3902="SINAPI",VLOOKUP(B3902,#REF!,4,0),IF(A3902="SUDECAP",VLOOKUP(B3902,#REF!,5,0),IF(A3902="SETOP",VLOOKUP(B3902,#REF!,4,0),IF(A3902="COTAÇÃO",VLOOKUP(B3902,'Mapa Cotações'!$A:$N,13,0))))))))</f>
        <v>92.514600000000002</v>
      </c>
      <c r="G3902" s="89">
        <f>IF(D3902="","",E3902*F3902)</f>
        <v>92.514600000000002</v>
      </c>
    </row>
    <row r="3903" spans="1:11">
      <c r="A3903" s="87"/>
      <c r="B3903" s="87"/>
      <c r="C3903" s="278" t="str">
        <f>IF(B3903="","",IF($A$8="NÃO DESONERADO",(IF(A3903="SINAPI",VLOOKUP(B3903,#REF!,2,0),IF(A3903="SUDECAP",VLOOKUP(B3903,#REF!,3,0),IF(A3903="SETOP",VLOOKUP(B3903,#REF!,2,0),IF(A3903="COTAÇÃO",VLOOKUP(B3903,'Mapa Cotações'!$A:$N,2,0)))))),(IF(A3903="SINAPI",VLOOKUP(B3903,#REF!,2,0),IF(A3903="SUDECAP",VLOOKUP(B3903,#REF!,3,0),IF(A3903="SETOP",VLOOKUP(B3903,#REF!,2,0),IF(A3903="COTAÇÃO",VLOOKUP(B3903,'Mapa Cotações'!$A:$N,2,0))))))))</f>
        <v/>
      </c>
      <c r="D3903" s="89" t="str">
        <f>IF(B3903="","",IF($A$8="NÃO DESONERADO",(IF(A3903="SINAPI",VLOOKUP(B3903,#REF!,3,0),IF(A3903="SUDECAP",VLOOKUP(B3903,#REF!,4,0),IF(A3903="SETOP",VLOOKUP(B3903,#REF!,3,0),IF(A3903="COTAÇÃO",VLOOKUP(B3903,'Mapa Cotações'!$A:$N,3,0)))))),(IF(A3903="SINAPI",VLOOKUP(B3903,#REF!,3,0),IF(A3903="SUDECAP",VLOOKUP(B3903,#REF!,4,0),IF(A3903="SETOP",VLOOKUP(B3903,#REF!,3,0),IF(A3903="COTAÇÃO",VLOOKUP(B3903,'Mapa Cotações'!$A:$N,3,0))))))))</f>
        <v/>
      </c>
      <c r="E3903" s="88"/>
      <c r="F3903" s="89" t="str">
        <f>IF(B3903="","",IF($A$8="NÃO DESONERADO",(IF(A3903="SINAPI",VLOOKUP(B3903,#REF!,4,0),IF(A3903="SUDECAP",VLOOKUP(B3903,#REF!,5,0),IF(A3903="SETOP",VLOOKUP(B3903,#REF!,4,0),IF(A3903="COTAÇÃO",VLOOKUP(B3903,'Mapa Cotações'!$A:$N,13,0)))))),(IF(A3903="SINAPI",VLOOKUP(B3903,#REF!,4,0),IF(A3903="SUDECAP",VLOOKUP(B3903,#REF!,5,0),IF(A3903="SETOP",VLOOKUP(B3903,#REF!,4,0),IF(A3903="COTAÇÃO",VLOOKUP(B3903,'Mapa Cotações'!$A:$N,13,0))))))))</f>
        <v/>
      </c>
      <c r="G3903" s="89" t="str">
        <f>IF(D3903="","",E3903*F3903)</f>
        <v/>
      </c>
    </row>
    <row r="3904" spans="1:11">
      <c r="A3904" s="832" t="s">
        <v>1908</v>
      </c>
      <c r="B3904" s="833"/>
      <c r="C3904" s="833"/>
      <c r="D3904" s="833"/>
      <c r="E3904" s="833"/>
      <c r="F3904" s="834"/>
      <c r="G3904" s="90">
        <f>IF(F3902="","",(SUM(G3902:G3903)))</f>
        <v>92.514600000000002</v>
      </c>
    </row>
    <row r="3905" spans="1:7">
      <c r="A3905" s="91"/>
      <c r="B3905" s="92"/>
      <c r="C3905" s="161"/>
      <c r="D3905" s="93"/>
      <c r="E3905" s="94"/>
      <c r="F3905" s="95"/>
      <c r="G3905" s="96"/>
    </row>
    <row r="3906" spans="1:7">
      <c r="A3906" s="835" t="s">
        <v>1909</v>
      </c>
      <c r="B3906" s="836"/>
      <c r="C3906" s="836"/>
      <c r="D3906" s="836"/>
      <c r="E3906" s="836"/>
      <c r="F3906" s="836"/>
      <c r="G3906" s="837"/>
    </row>
    <row r="3907" spans="1:7">
      <c r="A3907" s="84" t="s">
        <v>1903</v>
      </c>
      <c r="B3907" s="84" t="s">
        <v>131</v>
      </c>
      <c r="C3907" s="160" t="s">
        <v>1904</v>
      </c>
      <c r="D3907" s="84" t="s">
        <v>167</v>
      </c>
      <c r="E3907" s="85" t="s">
        <v>1905</v>
      </c>
      <c r="F3907" s="86" t="s">
        <v>1906</v>
      </c>
      <c r="G3907" s="86" t="s">
        <v>1907</v>
      </c>
    </row>
    <row r="3908" spans="1:7" ht="24">
      <c r="A3908" s="87" t="s">
        <v>2</v>
      </c>
      <c r="B3908" s="87">
        <v>88243</v>
      </c>
      <c r="C3908" s="278" t="s">
        <v>2100</v>
      </c>
      <c r="D3908" s="89" t="s">
        <v>137</v>
      </c>
      <c r="E3908" s="88">
        <f>10*(0.397*0.197)</f>
        <v>0.78208999999999995</v>
      </c>
      <c r="F3908" s="89">
        <v>24.36</v>
      </c>
      <c r="G3908" s="89">
        <f>IF(D3908="","",E3908*F3908)</f>
        <v>19.0517124</v>
      </c>
    </row>
    <row r="3909" spans="1:7" ht="24">
      <c r="A3909" s="87" t="s">
        <v>2</v>
      </c>
      <c r="B3909" s="87">
        <v>100308</v>
      </c>
      <c r="C3909" s="278" t="s">
        <v>1936</v>
      </c>
      <c r="D3909" s="89" t="s">
        <v>137</v>
      </c>
      <c r="E3909" s="88">
        <f>10*(0.397*0.197)</f>
        <v>0.78208999999999995</v>
      </c>
      <c r="F3909" s="89">
        <v>25.97</v>
      </c>
      <c r="G3909" s="89">
        <f>IF(D3909="","",E3909*F3909)</f>
        <v>20.310877299999998</v>
      </c>
    </row>
    <row r="3910" spans="1:7">
      <c r="A3910" s="832" t="s">
        <v>1908</v>
      </c>
      <c r="B3910" s="833"/>
      <c r="C3910" s="833"/>
      <c r="D3910" s="833"/>
      <c r="E3910" s="833"/>
      <c r="F3910" s="834"/>
      <c r="G3910" s="90">
        <f>IF(F3908="","",(SUM(G3908:G3909)))</f>
        <v>39.362589700000001</v>
      </c>
    </row>
    <row r="3911" spans="1:7">
      <c r="A3911" s="91"/>
      <c r="B3911" s="92"/>
      <c r="C3911" s="162"/>
      <c r="D3911" s="92"/>
      <c r="E3911" s="97"/>
      <c r="F3911" s="98"/>
      <c r="G3911" s="96"/>
    </row>
    <row r="3912" spans="1:7">
      <c r="A3912" s="835" t="s">
        <v>1912</v>
      </c>
      <c r="B3912" s="836"/>
      <c r="C3912" s="836"/>
      <c r="D3912" s="836"/>
      <c r="E3912" s="836"/>
      <c r="F3912" s="836"/>
      <c r="G3912" s="837"/>
    </row>
    <row r="3913" spans="1:7">
      <c r="A3913" s="84" t="s">
        <v>1903</v>
      </c>
      <c r="B3913" s="84" t="s">
        <v>131</v>
      </c>
      <c r="C3913" s="160" t="s">
        <v>1904</v>
      </c>
      <c r="D3913" s="84" t="s">
        <v>167</v>
      </c>
      <c r="E3913" s="85" t="s">
        <v>1905</v>
      </c>
      <c r="F3913" s="86" t="s">
        <v>1906</v>
      </c>
      <c r="G3913" s="86" t="s">
        <v>1907</v>
      </c>
    </row>
    <row r="3914" spans="1:7">
      <c r="A3914" s="87"/>
      <c r="B3914" s="87"/>
      <c r="C3914" s="278" t="str">
        <f>IF(B3914="","",IF($A$8="NÃO DESONERADO",(IF(A3914="SINAPI",VLOOKUP(B3914,#REF!,2,0),IF(A3914="SUDECAP",VLOOKUP(B3914,#REF!,3,0),IF(A3914="SETOP",VLOOKUP(B3914,#REF!,2,0),IF(A3914="COTAÇÃO",VLOOKUP(B3914,'Mapa Cotações'!$A:$N,2,0)))))),(IF(A3914="SINAPI",VLOOKUP(B3914,#REF!,2,0),IF(A3914="SUDECAP",VLOOKUP(B3914,#REF!,3,0),IF(A3914="SETOP",VLOOKUP(B3914,#REF!,2,0),IF(A3914="COTAÇÃO",VLOOKUP(B3914,'Mapa Cotações'!$A:$N,2,0))))))))</f>
        <v/>
      </c>
      <c r="D3914" s="89" t="str">
        <f>IF(B3914="","",IF($A$8="NÃO DESONERADO",(IF(A3914="SINAPI",VLOOKUP(B3914,#REF!,3,0),IF(A3914="SUDECAP",VLOOKUP(B3914,#REF!,4,0),IF(A3914="SETOP",VLOOKUP(B3914,#REF!,3,0),IF(A3914="COTAÇÃO",VLOOKUP(B3914,'Mapa Cotações'!$A:$N,3,0)))))),(IF(A3914="SINAPI",VLOOKUP(B3914,#REF!,3,0),IF(A3914="SUDECAP",VLOOKUP(B3914,#REF!,4,0),IF(A3914="SETOP",VLOOKUP(B3914,#REF!,3,0),IF(A3914="COTAÇÃO",VLOOKUP(B3914,'Mapa Cotações'!$A:$N,3,0))))))))</f>
        <v/>
      </c>
      <c r="E3914" s="88"/>
      <c r="F3914" s="89" t="str">
        <f>IF(B3914="","",IF($A$8="NÃO DESONERADO",(IF(A3914="SINAPI",VLOOKUP(B3914,#REF!,4,0),IF(A3914="SUDECAP",VLOOKUP(B3914,#REF!,5,0),IF(A3914="SETOP",VLOOKUP(B3914,#REF!,4,0),IF(A3914="COTAÇÃO",VLOOKUP(B3914,'Mapa Cotações'!$A:$N,13,0)))))),(IF(A3914="SINAPI",VLOOKUP(B3914,#REF!,4,0),IF(A3914="SUDECAP",VLOOKUP(B3914,#REF!,5,0),IF(A3914="SETOP",VLOOKUP(B3914,#REF!,4,0),IF(A3914="COTAÇÃO",VLOOKUP(B3914,'Mapa Cotações'!$A:$N,13,0))))))))</f>
        <v/>
      </c>
      <c r="G3914" s="89" t="str">
        <f>IF(D3914="","",E3914*F3914)</f>
        <v/>
      </c>
    </row>
    <row r="3915" spans="1:7">
      <c r="A3915" s="87"/>
      <c r="B3915" s="87"/>
      <c r="C3915" s="278" t="str">
        <f>IF(B3915="","",IF($A$8="NÃO DESONERADO",(IF(A3915="SINAPI",VLOOKUP(B3915,#REF!,2,0),IF(A3915="SUDECAP",VLOOKUP(B3915,#REF!,3,0),IF(A3915="SETOP",VLOOKUP(B3915,#REF!,2,0),IF(A3915="COTAÇÃO",VLOOKUP(B3915,'Mapa Cotações'!$A:$N,2,0)))))),(IF(A3915="SINAPI",VLOOKUP(B3915,#REF!,2,0),IF(A3915="SUDECAP",VLOOKUP(B3915,#REF!,3,0),IF(A3915="SETOP",VLOOKUP(B3915,#REF!,2,0),IF(A3915="COTAÇÃO",VLOOKUP(B3915,'Mapa Cotações'!$A:$N,2,0))))))))</f>
        <v/>
      </c>
      <c r="D3915" s="89" t="str">
        <f>IF(B3915="","",IF($A$8="NÃO DESONERADO",(IF(A3915="SINAPI",VLOOKUP(B3915,#REF!,3,0),IF(A3915="SUDECAP",VLOOKUP(B3915,#REF!,4,0),IF(A3915="SETOP",VLOOKUP(B3915,#REF!,3,0),IF(A3915="COTAÇÃO",VLOOKUP(B3915,'Mapa Cotações'!$A:$N,3,0)))))),(IF(A3915="SINAPI",VLOOKUP(B3915,#REF!,3,0),IF(A3915="SUDECAP",VLOOKUP(B3915,#REF!,4,0),IF(A3915="SETOP",VLOOKUP(B3915,#REF!,3,0),IF(A3915="COTAÇÃO",VLOOKUP(B3915,'Mapa Cotações'!$A:$N,3,0))))))))</f>
        <v/>
      </c>
      <c r="E3915" s="88"/>
      <c r="F3915" s="89" t="str">
        <f>IF(B3915="","",IF($A$8="NÃO DESONERADO",(IF(A3915="SINAPI",VLOOKUP(B3915,#REF!,4,0),IF(A3915="SUDECAP",VLOOKUP(B3915,#REF!,5,0),IF(A3915="SETOP",VLOOKUP(B3915,#REF!,4,0),IF(A3915="COTAÇÃO",VLOOKUP(B3915,'Mapa Cotações'!$A:$N,13,0)))))),(IF(A3915="SINAPI",VLOOKUP(B3915,#REF!,4,0),IF(A3915="SUDECAP",VLOOKUP(B3915,#REF!,5,0),IF(A3915="SETOP",VLOOKUP(B3915,#REF!,4,0),IF(A3915="COTAÇÃO",VLOOKUP(B3915,'Mapa Cotações'!$A:$N,13,0))))))))</f>
        <v/>
      </c>
      <c r="G3915" s="89" t="str">
        <f>IF(D3915="","",E3915*F3915)</f>
        <v/>
      </c>
    </row>
    <row r="3916" spans="1:7">
      <c r="A3916" s="832" t="s">
        <v>1908</v>
      </c>
      <c r="B3916" s="833" t="s">
        <v>1908</v>
      </c>
      <c r="C3916" s="833"/>
      <c r="D3916" s="833"/>
      <c r="E3916" s="833"/>
      <c r="F3916" s="834"/>
      <c r="G3916" s="90" t="str">
        <f>IF(F3914="","",(SUM(G3914:G3915)))</f>
        <v/>
      </c>
    </row>
    <row r="3917" spans="1:7" ht="13.5" thickBot="1">
      <c r="A3917" s="91"/>
      <c r="B3917" s="92"/>
      <c r="C3917" s="163"/>
      <c r="D3917" s="99"/>
      <c r="E3917" s="100"/>
      <c r="F3917" s="101"/>
      <c r="G3917" s="102"/>
    </row>
    <row r="3918" spans="1:7" ht="13.5" thickBot="1">
      <c r="A3918" s="838" t="s">
        <v>1259</v>
      </c>
      <c r="B3918" s="839"/>
      <c r="C3918" s="839"/>
      <c r="D3918" s="839"/>
      <c r="E3918" s="839"/>
      <c r="F3918" s="840"/>
      <c r="G3918" s="103">
        <f>SUM(G3904,G3910,G3916)</f>
        <v>131.8771897</v>
      </c>
    </row>
    <row r="3921" spans="1:11">
      <c r="A3921" s="237" t="s">
        <v>131</v>
      </c>
      <c r="B3921" s="190" t="s">
        <v>27</v>
      </c>
      <c r="C3921" s="841" t="s">
        <v>1281</v>
      </c>
      <c r="D3921" s="841"/>
      <c r="E3921" s="841"/>
      <c r="F3921" s="841"/>
      <c r="G3921" s="81" t="s">
        <v>127</v>
      </c>
      <c r="I3921" s="480" t="s">
        <v>1901</v>
      </c>
      <c r="J3921" s="80"/>
      <c r="K3921" s="80"/>
    </row>
    <row r="3922" spans="1:11" ht="64.5" customHeight="1">
      <c r="A3922" s="179" t="s">
        <v>1116</v>
      </c>
      <c r="B3922" s="82"/>
      <c r="C3922" s="830" t="s">
        <v>1117</v>
      </c>
      <c r="D3922" s="831"/>
      <c r="E3922" s="831"/>
      <c r="F3922" s="186">
        <f>G3941</f>
        <v>534.79281249999997</v>
      </c>
      <c r="G3922" s="83" t="s">
        <v>167</v>
      </c>
      <c r="I3922" s="481"/>
      <c r="J3922" s="272"/>
      <c r="K3922" s="272"/>
    </row>
    <row r="3923" spans="1:11">
      <c r="A3923" s="818" t="s">
        <v>1902</v>
      </c>
      <c r="B3923" s="819"/>
      <c r="C3923" s="819"/>
      <c r="D3923" s="819"/>
      <c r="E3923" s="819"/>
      <c r="F3923" s="819"/>
      <c r="G3923" s="820"/>
    </row>
    <row r="3924" spans="1:11">
      <c r="A3924" s="84" t="s">
        <v>1903</v>
      </c>
      <c r="B3924" s="84" t="s">
        <v>131</v>
      </c>
      <c r="C3924" s="160" t="s">
        <v>1904</v>
      </c>
      <c r="D3924" s="84" t="s">
        <v>167</v>
      </c>
      <c r="E3924" s="85" t="s">
        <v>1905</v>
      </c>
      <c r="F3924" s="86" t="s">
        <v>1906</v>
      </c>
      <c r="G3924" s="86" t="s">
        <v>1907</v>
      </c>
    </row>
    <row r="3925" spans="1:11" ht="36">
      <c r="A3925" s="87" t="s">
        <v>1917</v>
      </c>
      <c r="B3925" s="187" t="s">
        <v>2128</v>
      </c>
      <c r="C3925" s="278" t="str">
        <f>IF(B3925="","",IF($A$8="NÃO DESONERADO",(IF(A3925="SINAPI",VLOOKUP(B3925,#REF!,2,0),IF(A3925="SUDECAP",VLOOKUP(B3925,#REF!,3,0),IF(A3925="SETOP",VLOOKUP(B3925,#REF!,2,0),IF(A3925="COTAÇÃO",VLOOKUP(B3925,'Mapa Cotações'!$A:$N,2,0)))))),(IF(A3925="SINAPI",VLOOKUP(B3925,#REF!,2,0),IF(A3925="SUDECAP",VLOOKUP(B3925,#REF!,3,0),IF(A3925="SETOP",VLOOKUP(B3925,#REF!,2,0),IF(A3925="COTAÇÃO",VLOOKUP(B3925,'Mapa Cotações'!$A:$N,2,0))))))))</f>
        <v>GRELHA EM ALUMÍNIO COM REGISTRO, DUPLA DEFLEXÃO,  MODELO AT-AG, L=825, H=125 . REF.: TROX OU EQUIVALENTE</v>
      </c>
      <c r="D3925" s="89" t="str">
        <f>IF(B3925="","",IF($A$8="NÃO DESONERADO",(IF(A3925="SINAPI",VLOOKUP(B3925,#REF!,3,0),IF(A3925="SUDECAP",VLOOKUP(B3925,#REF!,4,0),IF(A3925="SETOP",VLOOKUP(B3925,#REF!,3,0),IF(A3925="COTAÇÃO",VLOOKUP(B3925,'Mapa Cotações'!$A:$N,3,0)))))),(IF(A3925="SINAPI",VLOOKUP(B3925,#REF!,3,0),IF(A3925="SUDECAP",VLOOKUP(B3925,#REF!,4,0),IF(A3925="SETOP",VLOOKUP(B3925,#REF!,3,0),IF(A3925="COTAÇÃO",VLOOKUP(B3925,'Mapa Cotações'!$A:$N,3,0))))))))</f>
        <v>UN</v>
      </c>
      <c r="E3925" s="88">
        <v>1</v>
      </c>
      <c r="F3925" s="89">
        <f>IF(B3925="","",IF($A$8="NÃO DESONERADO",(IF(A3925="SINAPI",VLOOKUP(B3925,#REF!,4,0),IF(A3925="SUDECAP",VLOOKUP(B3925,#REF!,5,0),IF(A3925="SETOP",VLOOKUP(B3925,#REF!,4,0),IF(A3925="COTAÇÃO",VLOOKUP(B3925,'Mapa Cotações'!$A:$N,13,0)))))),(IF(A3925="SINAPI",VLOOKUP(B3925,#REF!,4,0),IF(A3925="SUDECAP",VLOOKUP(B3925,#REF!,5,0),IF(A3925="SETOP",VLOOKUP(B3925,#REF!,4,0),IF(A3925="COTAÇÃO",VLOOKUP(B3925,'Mapa Cotações'!$A:$N,13,0))))))))</f>
        <v>482.89</v>
      </c>
      <c r="G3925" s="89">
        <f>IF(D3925="","",E3925*F3925)</f>
        <v>482.89</v>
      </c>
    </row>
    <row r="3926" spans="1:11">
      <c r="A3926" s="87"/>
      <c r="B3926" s="87"/>
      <c r="C3926" s="278" t="str">
        <f>IF(B3926="","",IF($A$8="NÃO DESONERADO",(IF(A3926="SINAPI",VLOOKUP(B3926,#REF!,2,0),IF(A3926="SUDECAP",VLOOKUP(B3926,#REF!,3,0),IF(A3926="SETOP",VLOOKUP(B3926,#REF!,2,0),IF(A3926="COTAÇÃO",VLOOKUP(B3926,'Mapa Cotações'!$A:$N,2,0)))))),(IF(A3926="SINAPI",VLOOKUP(B3926,#REF!,2,0),IF(A3926="SUDECAP",VLOOKUP(B3926,#REF!,3,0),IF(A3926="SETOP",VLOOKUP(B3926,#REF!,2,0),IF(A3926="COTAÇÃO",VLOOKUP(B3926,'Mapa Cotações'!$A:$N,2,0))))))))</f>
        <v/>
      </c>
      <c r="D3926" s="89" t="str">
        <f>IF(B3926="","",IF($A$8="NÃO DESONERADO",(IF(A3926="SINAPI",VLOOKUP(B3926,#REF!,3,0),IF(A3926="SUDECAP",VLOOKUP(B3926,#REF!,4,0),IF(A3926="SETOP",VLOOKUP(B3926,#REF!,3,0),IF(A3926="COTAÇÃO",VLOOKUP(B3926,'Mapa Cotações'!$A:$N,3,0)))))),(IF(A3926="SINAPI",VLOOKUP(B3926,#REF!,3,0),IF(A3926="SUDECAP",VLOOKUP(B3926,#REF!,4,0),IF(A3926="SETOP",VLOOKUP(B3926,#REF!,3,0),IF(A3926="COTAÇÃO",VLOOKUP(B3926,'Mapa Cotações'!$A:$N,3,0))))))))</f>
        <v/>
      </c>
      <c r="E3926" s="88"/>
      <c r="F3926" s="89" t="str">
        <f>IF(B3926="","",IF($A$8="NÃO DESONERADO",(IF(A3926="SINAPI",VLOOKUP(B3926,#REF!,4,0),IF(A3926="SUDECAP",VLOOKUP(B3926,#REF!,5,0),IF(A3926="SETOP",VLOOKUP(B3926,#REF!,4,0),IF(A3926="COTAÇÃO",VLOOKUP(B3926,'Mapa Cotações'!$A:$N,13,0)))))),(IF(A3926="SINAPI",VLOOKUP(B3926,#REF!,4,0),IF(A3926="SUDECAP",VLOOKUP(B3926,#REF!,5,0),IF(A3926="SETOP",VLOOKUP(B3926,#REF!,4,0),IF(A3926="COTAÇÃO",VLOOKUP(B3926,'Mapa Cotações'!$A:$N,13,0))))))))</f>
        <v/>
      </c>
      <c r="G3926" s="89" t="str">
        <f>IF(D3926="","",E3926*F3926)</f>
        <v/>
      </c>
    </row>
    <row r="3927" spans="1:11">
      <c r="A3927" s="832" t="s">
        <v>1908</v>
      </c>
      <c r="B3927" s="833"/>
      <c r="C3927" s="833"/>
      <c r="D3927" s="833"/>
      <c r="E3927" s="833"/>
      <c r="F3927" s="834"/>
      <c r="G3927" s="90">
        <f>IF(F3925="","",(SUM(G3925:G3926)))</f>
        <v>482.89</v>
      </c>
    </row>
    <row r="3928" spans="1:11">
      <c r="A3928" s="91"/>
      <c r="B3928" s="92"/>
      <c r="C3928" s="161"/>
      <c r="D3928" s="93"/>
      <c r="E3928" s="94"/>
      <c r="F3928" s="95"/>
      <c r="G3928" s="96"/>
    </row>
    <row r="3929" spans="1:11">
      <c r="A3929" s="835" t="s">
        <v>1909</v>
      </c>
      <c r="B3929" s="836"/>
      <c r="C3929" s="836"/>
      <c r="D3929" s="836"/>
      <c r="E3929" s="836"/>
      <c r="F3929" s="836"/>
      <c r="G3929" s="837"/>
    </row>
    <row r="3930" spans="1:11">
      <c r="A3930" s="84" t="s">
        <v>1903</v>
      </c>
      <c r="B3930" s="84" t="s">
        <v>131</v>
      </c>
      <c r="C3930" s="160" t="s">
        <v>1904</v>
      </c>
      <c r="D3930" s="84" t="s">
        <v>167</v>
      </c>
      <c r="E3930" s="85" t="s">
        <v>1905</v>
      </c>
      <c r="F3930" s="86" t="s">
        <v>1906</v>
      </c>
      <c r="G3930" s="86" t="s">
        <v>1907</v>
      </c>
    </row>
    <row r="3931" spans="1:11" ht="24">
      <c r="A3931" s="87" t="s">
        <v>2</v>
      </c>
      <c r="B3931" s="87">
        <v>88243</v>
      </c>
      <c r="C3931" s="278" t="s">
        <v>2100</v>
      </c>
      <c r="D3931" s="89" t="s">
        <v>137</v>
      </c>
      <c r="E3931" s="88">
        <f>10*(0.825*0.125)</f>
        <v>1.03125</v>
      </c>
      <c r="F3931" s="89">
        <v>24.36</v>
      </c>
      <c r="G3931" s="89">
        <f>IF(D3931="","",E3931*F3931)</f>
        <v>25.12125</v>
      </c>
    </row>
    <row r="3932" spans="1:11" ht="24">
      <c r="A3932" s="87" t="s">
        <v>2</v>
      </c>
      <c r="B3932" s="87">
        <v>100308</v>
      </c>
      <c r="C3932" s="278" t="s">
        <v>1936</v>
      </c>
      <c r="D3932" s="89" t="s">
        <v>137</v>
      </c>
      <c r="E3932" s="88">
        <f>10*(0.825*0.125)</f>
        <v>1.03125</v>
      </c>
      <c r="F3932" s="89">
        <v>25.97</v>
      </c>
      <c r="G3932" s="89">
        <f>IF(D3932="","",E3932*F3932)</f>
        <v>26.7815625</v>
      </c>
    </row>
    <row r="3933" spans="1:11">
      <c r="A3933" s="832" t="s">
        <v>1908</v>
      </c>
      <c r="B3933" s="833"/>
      <c r="C3933" s="833"/>
      <c r="D3933" s="833"/>
      <c r="E3933" s="833"/>
      <c r="F3933" s="834"/>
      <c r="G3933" s="90">
        <f>IF(F3931="","",(SUM(G3931:G3932)))</f>
        <v>51.902812499999996</v>
      </c>
    </row>
    <row r="3934" spans="1:11">
      <c r="A3934" s="91"/>
      <c r="B3934" s="92"/>
      <c r="C3934" s="162"/>
      <c r="D3934" s="92"/>
      <c r="E3934" s="97"/>
      <c r="F3934" s="98"/>
      <c r="G3934" s="96"/>
    </row>
    <row r="3935" spans="1:11">
      <c r="A3935" s="835" t="s">
        <v>1912</v>
      </c>
      <c r="B3935" s="836"/>
      <c r="C3935" s="836"/>
      <c r="D3935" s="836"/>
      <c r="E3935" s="836"/>
      <c r="F3935" s="836"/>
      <c r="G3935" s="837"/>
    </row>
    <row r="3936" spans="1:11">
      <c r="A3936" s="84" t="s">
        <v>1903</v>
      </c>
      <c r="B3936" s="84" t="s">
        <v>131</v>
      </c>
      <c r="C3936" s="160" t="s">
        <v>1904</v>
      </c>
      <c r="D3936" s="84" t="s">
        <v>167</v>
      </c>
      <c r="E3936" s="85" t="s">
        <v>1905</v>
      </c>
      <c r="F3936" s="86" t="s">
        <v>1906</v>
      </c>
      <c r="G3936" s="86" t="s">
        <v>1907</v>
      </c>
    </row>
    <row r="3937" spans="1:11">
      <c r="A3937" s="87"/>
      <c r="B3937" s="87"/>
      <c r="C3937" s="278" t="str">
        <f>IF(B3937="","",IF($A$8="NÃO DESONERADO",(IF(A3937="SINAPI",VLOOKUP(B3937,#REF!,2,0),IF(A3937="SUDECAP",VLOOKUP(B3937,#REF!,3,0),IF(A3937="SETOP",VLOOKUP(B3937,#REF!,2,0),IF(A3937="COTAÇÃO",VLOOKUP(B3937,'Mapa Cotações'!$A:$N,2,0)))))),(IF(A3937="SINAPI",VLOOKUP(B3937,#REF!,2,0),IF(A3937="SUDECAP",VLOOKUP(B3937,#REF!,3,0),IF(A3937="SETOP",VLOOKUP(B3937,#REF!,2,0),IF(A3937="COTAÇÃO",VLOOKUP(B3937,'Mapa Cotações'!$A:$N,2,0))))))))</f>
        <v/>
      </c>
      <c r="D3937" s="89" t="str">
        <f>IF(B3937="","",IF($A$8="NÃO DESONERADO",(IF(A3937="SINAPI",VLOOKUP(B3937,#REF!,3,0),IF(A3937="SUDECAP",VLOOKUP(B3937,#REF!,4,0),IF(A3937="SETOP",VLOOKUP(B3937,#REF!,3,0),IF(A3937="COTAÇÃO",VLOOKUP(B3937,'Mapa Cotações'!$A:$N,3,0)))))),(IF(A3937="SINAPI",VLOOKUP(B3937,#REF!,3,0),IF(A3937="SUDECAP",VLOOKUP(B3937,#REF!,4,0),IF(A3937="SETOP",VLOOKUP(B3937,#REF!,3,0),IF(A3937="COTAÇÃO",VLOOKUP(B3937,'Mapa Cotações'!$A:$N,3,0))))))))</f>
        <v/>
      </c>
      <c r="E3937" s="88"/>
      <c r="F3937" s="89" t="str">
        <f>IF(B3937="","",IF($A$8="NÃO DESONERADO",(IF(A3937="SINAPI",VLOOKUP(B3937,#REF!,4,0),IF(A3937="SUDECAP",VLOOKUP(B3937,#REF!,5,0),IF(A3937="SETOP",VLOOKUP(B3937,#REF!,4,0),IF(A3937="COTAÇÃO",VLOOKUP(B3937,'Mapa Cotações'!$A:$N,13,0)))))),(IF(A3937="SINAPI",VLOOKUP(B3937,#REF!,4,0),IF(A3937="SUDECAP",VLOOKUP(B3937,#REF!,5,0),IF(A3937="SETOP",VLOOKUP(B3937,#REF!,4,0),IF(A3937="COTAÇÃO",VLOOKUP(B3937,'Mapa Cotações'!$A:$N,13,0))))))))</f>
        <v/>
      </c>
      <c r="G3937" s="89" t="str">
        <f>IF(D3937="","",E3937*F3937)</f>
        <v/>
      </c>
    </row>
    <row r="3938" spans="1:11">
      <c r="A3938" s="87"/>
      <c r="B3938" s="87"/>
      <c r="C3938" s="278" t="str">
        <f>IF(B3938="","",IF($A$8="NÃO DESONERADO",(IF(A3938="SINAPI",VLOOKUP(B3938,#REF!,2,0),IF(A3938="SUDECAP",VLOOKUP(B3938,#REF!,3,0),IF(A3938="SETOP",VLOOKUP(B3938,#REF!,2,0),IF(A3938="COTAÇÃO",VLOOKUP(B3938,'Mapa Cotações'!$A:$N,2,0)))))),(IF(A3938="SINAPI",VLOOKUP(B3938,#REF!,2,0),IF(A3938="SUDECAP",VLOOKUP(B3938,#REF!,3,0),IF(A3938="SETOP",VLOOKUP(B3938,#REF!,2,0),IF(A3938="COTAÇÃO",VLOOKUP(B3938,'Mapa Cotações'!$A:$N,2,0))))))))</f>
        <v/>
      </c>
      <c r="D3938" s="89" t="str">
        <f>IF(B3938="","",IF($A$8="NÃO DESONERADO",(IF(A3938="SINAPI",VLOOKUP(B3938,#REF!,3,0),IF(A3938="SUDECAP",VLOOKUP(B3938,#REF!,4,0),IF(A3938="SETOP",VLOOKUP(B3938,#REF!,3,0),IF(A3938="COTAÇÃO",VLOOKUP(B3938,'Mapa Cotações'!$A:$N,3,0)))))),(IF(A3938="SINAPI",VLOOKUP(B3938,#REF!,3,0),IF(A3938="SUDECAP",VLOOKUP(B3938,#REF!,4,0),IF(A3938="SETOP",VLOOKUP(B3938,#REF!,3,0),IF(A3938="COTAÇÃO",VLOOKUP(B3938,'Mapa Cotações'!$A:$N,3,0))))))))</f>
        <v/>
      </c>
      <c r="E3938" s="88"/>
      <c r="F3938" s="89" t="str">
        <f>IF(B3938="","",IF($A$8="NÃO DESONERADO",(IF(A3938="SINAPI",VLOOKUP(B3938,#REF!,4,0),IF(A3938="SUDECAP",VLOOKUP(B3938,#REF!,5,0),IF(A3938="SETOP",VLOOKUP(B3938,#REF!,4,0),IF(A3938="COTAÇÃO",VLOOKUP(B3938,'Mapa Cotações'!$A:$N,13,0)))))),(IF(A3938="SINAPI",VLOOKUP(B3938,#REF!,4,0),IF(A3938="SUDECAP",VLOOKUP(B3938,#REF!,5,0),IF(A3938="SETOP",VLOOKUP(B3938,#REF!,4,0),IF(A3938="COTAÇÃO",VLOOKUP(B3938,'Mapa Cotações'!$A:$N,13,0))))))))</f>
        <v/>
      </c>
      <c r="G3938" s="89" t="str">
        <f>IF(D3938="","",E3938*F3938)</f>
        <v/>
      </c>
    </row>
    <row r="3939" spans="1:11">
      <c r="A3939" s="832" t="s">
        <v>1908</v>
      </c>
      <c r="B3939" s="833" t="s">
        <v>1908</v>
      </c>
      <c r="C3939" s="833"/>
      <c r="D3939" s="833"/>
      <c r="E3939" s="833"/>
      <c r="F3939" s="834"/>
      <c r="G3939" s="90" t="str">
        <f>IF(F3937="","",(SUM(G3937:G3938)))</f>
        <v/>
      </c>
    </row>
    <row r="3940" spans="1:11" ht="13.5" thickBot="1">
      <c r="A3940" s="91"/>
      <c r="B3940" s="92"/>
      <c r="C3940" s="163"/>
      <c r="D3940" s="99"/>
      <c r="E3940" s="100"/>
      <c r="F3940" s="101"/>
      <c r="G3940" s="102"/>
    </row>
    <row r="3941" spans="1:11" ht="13.5" thickBot="1">
      <c r="A3941" s="838" t="s">
        <v>1259</v>
      </c>
      <c r="B3941" s="839"/>
      <c r="C3941" s="839"/>
      <c r="D3941" s="839"/>
      <c r="E3941" s="839"/>
      <c r="F3941" s="840"/>
      <c r="G3941" s="103">
        <f>SUM(G3927,G3933,G3939)</f>
        <v>534.79281249999997</v>
      </c>
    </row>
    <row r="3944" spans="1:11">
      <c r="A3944" s="237" t="s">
        <v>131</v>
      </c>
      <c r="B3944" s="190" t="s">
        <v>27</v>
      </c>
      <c r="C3944" s="841" t="s">
        <v>1281</v>
      </c>
      <c r="D3944" s="841"/>
      <c r="E3944" s="841"/>
      <c r="F3944" s="841"/>
      <c r="G3944" s="81" t="s">
        <v>127</v>
      </c>
      <c r="I3944" s="480" t="s">
        <v>1901</v>
      </c>
      <c r="J3944" s="80"/>
      <c r="K3944" s="80"/>
    </row>
    <row r="3945" spans="1:11" ht="39.950000000000003" customHeight="1">
      <c r="A3945" s="179" t="s">
        <v>1119</v>
      </c>
      <c r="B3945" s="82"/>
      <c r="C3945" s="816" t="s">
        <v>3060</v>
      </c>
      <c r="D3945" s="817"/>
      <c r="E3945" s="817"/>
      <c r="F3945" s="186">
        <f>G3964</f>
        <v>10014.8464</v>
      </c>
      <c r="G3945" s="83" t="s">
        <v>167</v>
      </c>
      <c r="I3945" s="481"/>
      <c r="J3945" s="272"/>
      <c r="K3945" s="272"/>
    </row>
    <row r="3946" spans="1:11">
      <c r="A3946" s="818" t="s">
        <v>1902</v>
      </c>
      <c r="B3946" s="819"/>
      <c r="C3946" s="819"/>
      <c r="D3946" s="819"/>
      <c r="E3946" s="819"/>
      <c r="F3946" s="819"/>
      <c r="G3946" s="820"/>
    </row>
    <row r="3947" spans="1:11">
      <c r="A3947" s="84" t="s">
        <v>1903</v>
      </c>
      <c r="B3947" s="84" t="s">
        <v>131</v>
      </c>
      <c r="C3947" s="160" t="s">
        <v>1904</v>
      </c>
      <c r="D3947" s="84" t="s">
        <v>167</v>
      </c>
      <c r="E3947" s="85" t="s">
        <v>1905</v>
      </c>
      <c r="F3947" s="86" t="s">
        <v>1906</v>
      </c>
      <c r="G3947" s="86" t="s">
        <v>1907</v>
      </c>
    </row>
    <row r="3948" spans="1:11" ht="35.1" customHeight="1">
      <c r="A3948" s="87" t="s">
        <v>1917</v>
      </c>
      <c r="B3948" s="187" t="s">
        <v>2130</v>
      </c>
      <c r="C3948" s="475" t="str">
        <f>IF(B3948="","",IF($A$8="NÃO DESONERADO",(IF(A3948="SINAPI",VLOOKUP(B3948,#REF!,2,0),IF(A3948="SUDECAP",VLOOKUP(B3948,#REF!,3,0),IF(A3948="SETOP",VLOOKUP(B3948,#REF!,2,0),IF(A3948="COTAÇÃO",VLOOKUP(B3948,'Mapa Cotações'!$A:$N,2,0)))))),(IF(A3948="SINAPI",VLOOKUP(B3948,#REF!,2,0),IF(A3948="SUDECAP",VLOOKUP(B3948,#REF!,3,0),IF(A3948="SETOP",VLOOKUP(B3948,#REF!,2,0),IF(A3948="COTAÇÃO",VLOOKUP(B3948,'Mapa Cotações'!$A:$N,2,0))))))))</f>
        <v xml:space="preserve">ATENUADOR DE RUÍDO COM CARCAÇA E CÉLULAS DE CHAPA GALVANIZADA, COM MATERIAL DE ABSORÇÃO EM LÂ MINERAL REVESTIDO COM TELA DE VIDRO. MODELO KS-200 - ATR-01 
VAZÃO DE AR  = 12985 M3/H
PERDA DE CARGA =74 PA
VELOCIDADE NA CÉLULA  = 12,0 M3/H /LW (DB(A)=49 /  NÚMERO DE CÉLULAS = 5
LARGURA/ALTURA/COMPRIMENTO = 1500/700/1000 MM / PESO = 103 KG
FREQUENCIA/ATENUAÇÃO  -    63HZ/3   125/10   250/19  500/19  1000/25  2000/18  4000/13  8000/12   
REF.:BERLINER LUFT OU EQUIVALENTE                   </v>
      </c>
      <c r="D3948" s="89" t="str">
        <f>IF(B3948="","",IF($A$8="NÃO DESONERADO",(IF(A3948="SINAPI",VLOOKUP(B3948,#REF!,3,0),IF(A3948="SUDECAP",VLOOKUP(B3948,#REF!,4,0),IF(A3948="SETOP",VLOOKUP(B3948,#REF!,3,0),IF(A3948="COTAÇÃO",VLOOKUP(B3948,'Mapa Cotações'!$A:$N,3,0)))))),(IF(A3948="SINAPI",VLOOKUP(B3948,#REF!,3,0),IF(A3948="SUDECAP",VLOOKUP(B3948,#REF!,4,0),IF(A3948="SETOP",VLOOKUP(B3948,#REF!,3,0),IF(A3948="COTAÇÃO",VLOOKUP(B3948,'Mapa Cotações'!$A:$N,3,0))))))))</f>
        <v>UN</v>
      </c>
      <c r="E3948" s="88">
        <v>1</v>
      </c>
      <c r="F3948" s="89">
        <f>IF(B3948="","",IF($A$8="NÃO DESONERADO",(IF(A3948="SINAPI",VLOOKUP(B3948,#REF!,4,0),IF(A3948="SUDECAP",VLOOKUP(B3948,#REF!,5,0),IF(A3948="SETOP",VLOOKUP(B3948,#REF!,4,0),IF(A3948="COTAÇÃO",VLOOKUP(B3948,'Mapa Cotações'!$A:$N,13,0)))))),(IF(A3948="SINAPI",VLOOKUP(B3948,#REF!,4,0),IF(A3948="SUDECAP",VLOOKUP(B3948,#REF!,5,0),IF(A3948="SETOP",VLOOKUP(B3948,#REF!,4,0),IF(A3948="COTAÇÃO",VLOOKUP(B3948,'Mapa Cotações'!$A:$N,13,0))))))))</f>
        <v>9954.4503999999997</v>
      </c>
      <c r="G3948" s="89">
        <f>IF(D3948="","",E3948*F3948)</f>
        <v>9954.4503999999997</v>
      </c>
    </row>
    <row r="3949" spans="1:11">
      <c r="A3949" s="87"/>
      <c r="B3949" s="87"/>
      <c r="C3949" s="278" t="str">
        <f>IF(B3949="","",IF($A$8="NÃO DESONERADO",(IF(A3949="SINAPI",VLOOKUP(B3949,#REF!,2,0),IF(A3949="SUDECAP",VLOOKUP(B3949,#REF!,3,0),IF(A3949="SETOP",VLOOKUP(B3949,#REF!,2,0),IF(A3949="COTAÇÃO",VLOOKUP(B3949,'Mapa Cotações'!$A:$N,2,0)))))),(IF(A3949="SINAPI",VLOOKUP(B3949,#REF!,2,0),IF(A3949="SUDECAP",VLOOKUP(B3949,#REF!,3,0),IF(A3949="SETOP",VLOOKUP(B3949,#REF!,2,0),IF(A3949="COTAÇÃO",VLOOKUP(B3949,'Mapa Cotações'!$A:$N,2,0))))))))</f>
        <v/>
      </c>
      <c r="D3949" s="89" t="str">
        <f>IF(B3949="","",IF($A$8="NÃO DESONERADO",(IF(A3949="SINAPI",VLOOKUP(B3949,#REF!,3,0),IF(A3949="SUDECAP",VLOOKUP(B3949,#REF!,4,0),IF(A3949="SETOP",VLOOKUP(B3949,#REF!,3,0),IF(A3949="COTAÇÃO",VLOOKUP(B3949,'Mapa Cotações'!$A:$N,3,0)))))),(IF(A3949="SINAPI",VLOOKUP(B3949,#REF!,3,0),IF(A3949="SUDECAP",VLOOKUP(B3949,#REF!,4,0),IF(A3949="SETOP",VLOOKUP(B3949,#REF!,3,0),IF(A3949="COTAÇÃO",VLOOKUP(B3949,'Mapa Cotações'!$A:$N,3,0))))))))</f>
        <v/>
      </c>
      <c r="E3949" s="88"/>
      <c r="F3949" s="89" t="str">
        <f>IF(B3949="","",IF($A$8="NÃO DESONERADO",(IF(A3949="SINAPI",VLOOKUP(B3949,#REF!,4,0),IF(A3949="SUDECAP",VLOOKUP(B3949,#REF!,5,0),IF(A3949="SETOP",VLOOKUP(B3949,#REF!,4,0),IF(A3949="COTAÇÃO",VLOOKUP(B3949,'Mapa Cotações'!$A:$N,13,0)))))),(IF(A3949="SINAPI",VLOOKUP(B3949,#REF!,4,0),IF(A3949="SUDECAP",VLOOKUP(B3949,#REF!,5,0),IF(A3949="SETOP",VLOOKUP(B3949,#REF!,4,0),IF(A3949="COTAÇÃO",VLOOKUP(B3949,'Mapa Cotações'!$A:$N,13,0))))))))</f>
        <v/>
      </c>
      <c r="G3949" s="89" t="str">
        <f>IF(D3949="","",E3949*F3949)</f>
        <v/>
      </c>
    </row>
    <row r="3950" spans="1:11">
      <c r="A3950" s="832" t="s">
        <v>1908</v>
      </c>
      <c r="B3950" s="833"/>
      <c r="C3950" s="833"/>
      <c r="D3950" s="833"/>
      <c r="E3950" s="833"/>
      <c r="F3950" s="834"/>
      <c r="G3950" s="90">
        <f>IF(F3948="","",(SUM(G3948:G3949)))</f>
        <v>9954.4503999999997</v>
      </c>
    </row>
    <row r="3951" spans="1:11">
      <c r="A3951" s="91"/>
      <c r="B3951" s="92"/>
      <c r="C3951" s="161"/>
      <c r="D3951" s="93"/>
      <c r="E3951" s="94"/>
      <c r="F3951" s="95"/>
      <c r="G3951" s="96"/>
    </row>
    <row r="3952" spans="1:11">
      <c r="A3952" s="835" t="s">
        <v>1909</v>
      </c>
      <c r="B3952" s="836"/>
      <c r="C3952" s="836"/>
      <c r="D3952" s="836"/>
      <c r="E3952" s="836"/>
      <c r="F3952" s="836"/>
      <c r="G3952" s="837"/>
    </row>
    <row r="3953" spans="1:7">
      <c r="A3953" s="84" t="s">
        <v>1903</v>
      </c>
      <c r="B3953" s="84" t="s">
        <v>131</v>
      </c>
      <c r="C3953" s="160" t="s">
        <v>1904</v>
      </c>
      <c r="D3953" s="84" t="s">
        <v>167</v>
      </c>
      <c r="E3953" s="85" t="s">
        <v>1905</v>
      </c>
      <c r="F3953" s="86" t="s">
        <v>1906</v>
      </c>
      <c r="G3953" s="86" t="s">
        <v>1907</v>
      </c>
    </row>
    <row r="3954" spans="1:7" ht="24">
      <c r="A3954" s="636" t="s">
        <v>2</v>
      </c>
      <c r="B3954" s="636">
        <v>88243</v>
      </c>
      <c r="C3954" s="661" t="s">
        <v>2100</v>
      </c>
      <c r="D3954" s="638" t="s">
        <v>137</v>
      </c>
      <c r="E3954" s="637">
        <v>1.2</v>
      </c>
      <c r="F3954" s="638">
        <v>24.36</v>
      </c>
      <c r="G3954" s="638">
        <f>IF(D3954="","",E3954*F3954)</f>
        <v>29.231999999999999</v>
      </c>
    </row>
    <row r="3955" spans="1:7" ht="24">
      <c r="A3955" s="636" t="s">
        <v>2</v>
      </c>
      <c r="B3955" s="636">
        <v>100308</v>
      </c>
      <c r="C3955" s="661" t="s">
        <v>1936</v>
      </c>
      <c r="D3955" s="638" t="s">
        <v>137</v>
      </c>
      <c r="E3955" s="637">
        <v>1.2</v>
      </c>
      <c r="F3955" s="638">
        <v>25.97</v>
      </c>
      <c r="G3955" s="638">
        <f>IF(D3955="","",E3955*F3955)</f>
        <v>31.163999999999998</v>
      </c>
    </row>
    <row r="3956" spans="1:7">
      <c r="A3956" s="832" t="s">
        <v>1908</v>
      </c>
      <c r="B3956" s="833"/>
      <c r="C3956" s="833"/>
      <c r="D3956" s="833"/>
      <c r="E3956" s="833"/>
      <c r="F3956" s="834"/>
      <c r="G3956" s="90">
        <f>IF(F3954="","",(SUM(G3954:G3955)))</f>
        <v>60.396000000000001</v>
      </c>
    </row>
    <row r="3957" spans="1:7">
      <c r="A3957" s="91"/>
      <c r="B3957" s="92"/>
      <c r="C3957" s="162"/>
      <c r="D3957" s="92"/>
      <c r="E3957" s="97"/>
      <c r="F3957" s="98"/>
      <c r="G3957" s="96"/>
    </row>
    <row r="3958" spans="1:7">
      <c r="A3958" s="835" t="s">
        <v>1912</v>
      </c>
      <c r="B3958" s="836"/>
      <c r="C3958" s="836"/>
      <c r="D3958" s="836"/>
      <c r="E3958" s="836"/>
      <c r="F3958" s="836"/>
      <c r="G3958" s="837"/>
    </row>
    <row r="3959" spans="1:7">
      <c r="A3959" s="84" t="s">
        <v>1903</v>
      </c>
      <c r="B3959" s="84" t="s">
        <v>131</v>
      </c>
      <c r="C3959" s="160" t="s">
        <v>1904</v>
      </c>
      <c r="D3959" s="84" t="s">
        <v>167</v>
      </c>
      <c r="E3959" s="85" t="s">
        <v>1905</v>
      </c>
      <c r="F3959" s="86" t="s">
        <v>1906</v>
      </c>
      <c r="G3959" s="86" t="s">
        <v>1907</v>
      </c>
    </row>
    <row r="3960" spans="1:7">
      <c r="A3960" s="87"/>
      <c r="B3960" s="87"/>
      <c r="C3960" s="278" t="str">
        <f>IF(B3960="","",IF($A$8="NÃO DESONERADO",(IF(A3960="SINAPI",VLOOKUP(B3960,#REF!,2,0),IF(A3960="SUDECAP",VLOOKUP(B3960,#REF!,3,0),IF(A3960="SETOP",VLOOKUP(B3960,#REF!,2,0),IF(A3960="COTAÇÃO",VLOOKUP(B3960,'Mapa Cotações'!$A:$N,2,0)))))),(IF(A3960="SINAPI",VLOOKUP(B3960,#REF!,2,0),IF(A3960="SUDECAP",VLOOKUP(B3960,#REF!,3,0),IF(A3960="SETOP",VLOOKUP(B3960,#REF!,2,0),IF(A3960="COTAÇÃO",VLOOKUP(B3960,'Mapa Cotações'!$A:$N,2,0))))))))</f>
        <v/>
      </c>
      <c r="D3960" s="89" t="str">
        <f>IF(B3960="","",IF($A$8="NÃO DESONERADO",(IF(A3960="SINAPI",VLOOKUP(B3960,#REF!,3,0),IF(A3960="SUDECAP",VLOOKUP(B3960,#REF!,4,0),IF(A3960="SETOP",VLOOKUP(B3960,#REF!,3,0),IF(A3960="COTAÇÃO",VLOOKUP(B3960,'Mapa Cotações'!$A:$N,3,0)))))),(IF(A3960="SINAPI",VLOOKUP(B3960,#REF!,3,0),IF(A3960="SUDECAP",VLOOKUP(B3960,#REF!,4,0),IF(A3960="SETOP",VLOOKUP(B3960,#REF!,3,0),IF(A3960="COTAÇÃO",VLOOKUP(B3960,'Mapa Cotações'!$A:$N,3,0))))))))</f>
        <v/>
      </c>
      <c r="E3960" s="88"/>
      <c r="F3960" s="89" t="str">
        <f>IF(B3960="","",IF($A$8="NÃO DESONERADO",(IF(A3960="SINAPI",VLOOKUP(B3960,#REF!,4,0),IF(A3960="SUDECAP",VLOOKUP(B3960,#REF!,5,0),IF(A3960="SETOP",VLOOKUP(B3960,#REF!,4,0),IF(A3960="COTAÇÃO",VLOOKUP(B3960,'Mapa Cotações'!$A:$N,13,0)))))),(IF(A3960="SINAPI",VLOOKUP(B3960,#REF!,4,0),IF(A3960="SUDECAP",VLOOKUP(B3960,#REF!,5,0),IF(A3960="SETOP",VLOOKUP(B3960,#REF!,4,0),IF(A3960="COTAÇÃO",VLOOKUP(B3960,'Mapa Cotações'!$A:$N,13,0))))))))</f>
        <v/>
      </c>
      <c r="G3960" s="89" t="str">
        <f>IF(D3960="","",E3960*F3960)</f>
        <v/>
      </c>
    </row>
    <row r="3961" spans="1:7">
      <c r="A3961" s="87"/>
      <c r="B3961" s="87"/>
      <c r="C3961" s="278" t="str">
        <f>IF(B3961="","",IF($A$8="NÃO DESONERADO",(IF(A3961="SINAPI",VLOOKUP(B3961,#REF!,2,0),IF(A3961="SUDECAP",VLOOKUP(B3961,#REF!,3,0),IF(A3961="SETOP",VLOOKUP(B3961,#REF!,2,0),IF(A3961="COTAÇÃO",VLOOKUP(B3961,'Mapa Cotações'!$A:$N,2,0)))))),(IF(A3961="SINAPI",VLOOKUP(B3961,#REF!,2,0),IF(A3961="SUDECAP",VLOOKUP(B3961,#REF!,3,0),IF(A3961="SETOP",VLOOKUP(B3961,#REF!,2,0),IF(A3961="COTAÇÃO",VLOOKUP(B3961,'Mapa Cotações'!$A:$N,2,0))))))))</f>
        <v/>
      </c>
      <c r="D3961" s="89" t="str">
        <f>IF(B3961="","",IF($A$8="NÃO DESONERADO",(IF(A3961="SINAPI",VLOOKUP(B3961,#REF!,3,0),IF(A3961="SUDECAP",VLOOKUP(B3961,#REF!,4,0),IF(A3961="SETOP",VLOOKUP(B3961,#REF!,3,0),IF(A3961="COTAÇÃO",VLOOKUP(B3961,'Mapa Cotações'!$A:$N,3,0)))))),(IF(A3961="SINAPI",VLOOKUP(B3961,#REF!,3,0),IF(A3961="SUDECAP",VLOOKUP(B3961,#REF!,4,0),IF(A3961="SETOP",VLOOKUP(B3961,#REF!,3,0),IF(A3961="COTAÇÃO",VLOOKUP(B3961,'Mapa Cotações'!$A:$N,3,0))))))))</f>
        <v/>
      </c>
      <c r="E3961" s="88"/>
      <c r="F3961" s="89" t="str">
        <f>IF(B3961="","",IF($A$8="NÃO DESONERADO",(IF(A3961="SINAPI",VLOOKUP(B3961,#REF!,4,0),IF(A3961="SUDECAP",VLOOKUP(B3961,#REF!,5,0),IF(A3961="SETOP",VLOOKUP(B3961,#REF!,4,0),IF(A3961="COTAÇÃO",VLOOKUP(B3961,'Mapa Cotações'!$A:$N,13,0)))))),(IF(A3961="SINAPI",VLOOKUP(B3961,#REF!,4,0),IF(A3961="SUDECAP",VLOOKUP(B3961,#REF!,5,0),IF(A3961="SETOP",VLOOKUP(B3961,#REF!,4,0),IF(A3961="COTAÇÃO",VLOOKUP(B3961,'Mapa Cotações'!$A:$N,13,0))))))))</f>
        <v/>
      </c>
      <c r="G3961" s="89" t="str">
        <f>IF(D3961="","",E3961*F3961)</f>
        <v/>
      </c>
    </row>
    <row r="3962" spans="1:7">
      <c r="A3962" s="832" t="s">
        <v>1908</v>
      </c>
      <c r="B3962" s="833" t="s">
        <v>1908</v>
      </c>
      <c r="C3962" s="833"/>
      <c r="D3962" s="833"/>
      <c r="E3962" s="833"/>
      <c r="F3962" s="834"/>
      <c r="G3962" s="90" t="str">
        <f>IF(F3960="","",(SUM(G3960:G3961)))</f>
        <v/>
      </c>
    </row>
    <row r="3963" spans="1:7" ht="13.5" thickBot="1">
      <c r="A3963" s="91"/>
      <c r="B3963" s="92"/>
      <c r="C3963" s="163"/>
      <c r="D3963" s="99"/>
      <c r="E3963" s="100"/>
      <c r="F3963" s="101"/>
      <c r="G3963" s="102"/>
    </row>
    <row r="3964" spans="1:7" ht="13.5" thickBot="1">
      <c r="A3964" s="838" t="s">
        <v>1259</v>
      </c>
      <c r="B3964" s="839"/>
      <c r="C3964" s="839"/>
      <c r="D3964" s="839"/>
      <c r="E3964" s="839"/>
      <c r="F3964" s="840"/>
      <c r="G3964" s="103">
        <f>SUM(G3950,G3956,G3962)</f>
        <v>10014.8464</v>
      </c>
    </row>
    <row r="3966" spans="1:7" hidden="1">
      <c r="A3966" s="660"/>
      <c r="B3966" s="653"/>
      <c r="C3966" s="815"/>
      <c r="D3966" s="815"/>
      <c r="E3966" s="815"/>
      <c r="F3966" s="815"/>
      <c r="G3966" s="632"/>
    </row>
    <row r="3967" spans="1:7" ht="13.15" hidden="1" customHeight="1">
      <c r="A3967" s="179"/>
      <c r="B3967" s="82"/>
      <c r="C3967" s="816"/>
      <c r="D3967" s="817"/>
      <c r="E3967" s="817"/>
      <c r="F3967" s="186"/>
      <c r="G3967" s="83"/>
    </row>
    <row r="3968" spans="1:7" hidden="1">
      <c r="A3968" s="818"/>
      <c r="B3968" s="819"/>
      <c r="C3968" s="819"/>
      <c r="D3968" s="819"/>
      <c r="E3968" s="819"/>
      <c r="F3968" s="819"/>
      <c r="G3968" s="820"/>
    </row>
    <row r="3969" spans="1:7" hidden="1">
      <c r="A3969" s="633"/>
      <c r="B3969" s="633"/>
      <c r="C3969" s="649"/>
      <c r="D3969" s="633"/>
      <c r="E3969" s="634"/>
      <c r="F3969" s="635"/>
      <c r="G3969" s="635"/>
    </row>
    <row r="3970" spans="1:7" hidden="1">
      <c r="A3970" s="636"/>
      <c r="B3970" s="187"/>
      <c r="C3970" s="662"/>
      <c r="D3970" s="638"/>
      <c r="E3970" s="637"/>
      <c r="F3970" s="638"/>
      <c r="G3970" s="638"/>
    </row>
    <row r="3971" spans="1:7" hidden="1">
      <c r="A3971" s="636"/>
      <c r="B3971" s="636"/>
      <c r="C3971" s="661"/>
      <c r="D3971" s="638"/>
      <c r="E3971" s="637"/>
      <c r="F3971" s="638"/>
      <c r="G3971" s="638"/>
    </row>
    <row r="3972" spans="1:7" hidden="1">
      <c r="A3972" s="821"/>
      <c r="B3972" s="822"/>
      <c r="C3972" s="822"/>
      <c r="D3972" s="822"/>
      <c r="E3972" s="822"/>
      <c r="F3972" s="823"/>
      <c r="G3972" s="613"/>
    </row>
    <row r="3973" spans="1:7" hidden="1">
      <c r="A3973" s="639"/>
      <c r="B3973" s="640"/>
      <c r="C3973" s="161"/>
      <c r="D3973" s="93"/>
      <c r="E3973" s="94"/>
      <c r="F3973" s="95"/>
      <c r="G3973" s="641"/>
    </row>
    <row r="3974" spans="1:7" hidden="1">
      <c r="A3974" s="824"/>
      <c r="B3974" s="825"/>
      <c r="C3974" s="825"/>
      <c r="D3974" s="825"/>
      <c r="E3974" s="825"/>
      <c r="F3974" s="825"/>
      <c r="G3974" s="826"/>
    </row>
    <row r="3975" spans="1:7" hidden="1">
      <c r="A3975" s="633"/>
      <c r="B3975" s="633"/>
      <c r="C3975" s="649"/>
      <c r="D3975" s="633"/>
      <c r="E3975" s="634"/>
      <c r="F3975" s="635"/>
      <c r="G3975" s="635"/>
    </row>
    <row r="3976" spans="1:7" hidden="1">
      <c r="A3976" s="636"/>
      <c r="B3976" s="636"/>
      <c r="C3976" s="661"/>
      <c r="D3976" s="638"/>
      <c r="E3976" s="637"/>
      <c r="F3976" s="638"/>
      <c r="G3976" s="638"/>
    </row>
    <row r="3977" spans="1:7" hidden="1">
      <c r="A3977" s="636"/>
      <c r="B3977" s="636"/>
      <c r="C3977" s="661"/>
      <c r="D3977" s="638"/>
      <c r="E3977" s="637"/>
      <c r="F3977" s="638"/>
      <c r="G3977" s="638"/>
    </row>
    <row r="3978" spans="1:7" hidden="1">
      <c r="A3978" s="821"/>
      <c r="B3978" s="822"/>
      <c r="C3978" s="822"/>
      <c r="D3978" s="822"/>
      <c r="E3978" s="822"/>
      <c r="F3978" s="823"/>
      <c r="G3978" s="613"/>
    </row>
    <row r="3979" spans="1:7" hidden="1">
      <c r="A3979" s="639"/>
      <c r="B3979" s="640"/>
      <c r="C3979" s="650"/>
      <c r="D3979" s="640"/>
      <c r="E3979" s="642"/>
      <c r="F3979" s="643"/>
      <c r="G3979" s="641"/>
    </row>
    <row r="3980" spans="1:7" hidden="1">
      <c r="A3980" s="824"/>
      <c r="B3980" s="825"/>
      <c r="C3980" s="825"/>
      <c r="D3980" s="825"/>
      <c r="E3980" s="825"/>
      <c r="F3980" s="825"/>
      <c r="G3980" s="826"/>
    </row>
    <row r="3981" spans="1:7" hidden="1">
      <c r="A3981" s="633"/>
      <c r="B3981" s="633"/>
      <c r="C3981" s="649"/>
      <c r="D3981" s="633"/>
      <c r="E3981" s="634"/>
      <c r="F3981" s="635"/>
      <c r="G3981" s="635"/>
    </row>
    <row r="3982" spans="1:7" hidden="1">
      <c r="A3982" s="636"/>
      <c r="B3982" s="636"/>
      <c r="C3982" s="661"/>
      <c r="D3982" s="638"/>
      <c r="E3982" s="637"/>
      <c r="F3982" s="638"/>
      <c r="G3982" s="638"/>
    </row>
    <row r="3983" spans="1:7" hidden="1">
      <c r="A3983" s="636"/>
      <c r="B3983" s="636"/>
      <c r="C3983" s="661"/>
      <c r="D3983" s="638"/>
      <c r="E3983" s="637"/>
      <c r="F3983" s="638"/>
      <c r="G3983" s="638"/>
    </row>
    <row r="3984" spans="1:7" hidden="1">
      <c r="A3984" s="821"/>
      <c r="B3984" s="822"/>
      <c r="C3984" s="822"/>
      <c r="D3984" s="822"/>
      <c r="E3984" s="822"/>
      <c r="F3984" s="823"/>
      <c r="G3984" s="613"/>
    </row>
    <row r="3985" spans="1:11" ht="13.5" hidden="1" thickBot="1">
      <c r="A3985" s="639"/>
      <c r="B3985" s="640"/>
      <c r="C3985" s="651"/>
      <c r="D3985" s="644"/>
      <c r="E3985" s="645"/>
      <c r="F3985" s="646"/>
      <c r="G3985" s="647"/>
    </row>
    <row r="3986" spans="1:11" ht="13.5" hidden="1" thickBot="1">
      <c r="A3986" s="827"/>
      <c r="B3986" s="828"/>
      <c r="C3986" s="828"/>
      <c r="D3986" s="828"/>
      <c r="E3986" s="828"/>
      <c r="F3986" s="829"/>
      <c r="G3986" s="103"/>
    </row>
    <row r="3990" spans="1:11">
      <c r="A3990" s="237" t="s">
        <v>131</v>
      </c>
      <c r="B3990" s="190" t="s">
        <v>27</v>
      </c>
      <c r="C3990" s="841" t="s">
        <v>1281</v>
      </c>
      <c r="D3990" s="841"/>
      <c r="E3990" s="841"/>
      <c r="F3990" s="841"/>
      <c r="G3990" s="81" t="s">
        <v>127</v>
      </c>
      <c r="I3990" s="480" t="s">
        <v>1901</v>
      </c>
      <c r="J3990" s="80"/>
      <c r="K3990" s="80"/>
    </row>
    <row r="3991" spans="1:11" ht="39.950000000000003" customHeight="1">
      <c r="A3991" s="179" t="s">
        <v>1122</v>
      </c>
      <c r="B3991" s="82"/>
      <c r="C3991" s="816" t="s">
        <v>3061</v>
      </c>
      <c r="D3991" s="817"/>
      <c r="E3991" s="817"/>
      <c r="F3991" s="186">
        <f>G4010</f>
        <v>10285.333499999999</v>
      </c>
      <c r="G3991" s="83" t="s">
        <v>167</v>
      </c>
      <c r="I3991" s="481"/>
      <c r="J3991" s="272"/>
      <c r="K3991" s="272"/>
    </row>
    <row r="3992" spans="1:11">
      <c r="A3992" s="818" t="s">
        <v>1902</v>
      </c>
      <c r="B3992" s="819"/>
      <c r="C3992" s="819"/>
      <c r="D3992" s="819"/>
      <c r="E3992" s="819"/>
      <c r="F3992" s="819"/>
      <c r="G3992" s="820"/>
    </row>
    <row r="3993" spans="1:11">
      <c r="A3993" s="84" t="s">
        <v>1903</v>
      </c>
      <c r="B3993" s="84" t="s">
        <v>131</v>
      </c>
      <c r="C3993" s="160" t="s">
        <v>1904</v>
      </c>
      <c r="D3993" s="84" t="s">
        <v>167</v>
      </c>
      <c r="E3993" s="85" t="s">
        <v>1905</v>
      </c>
      <c r="F3993" s="86" t="s">
        <v>1906</v>
      </c>
      <c r="G3993" s="86" t="s">
        <v>1907</v>
      </c>
    </row>
    <row r="3994" spans="1:11" ht="35.1" customHeight="1">
      <c r="A3994" s="87" t="s">
        <v>1917</v>
      </c>
      <c r="B3994" s="187" t="s">
        <v>2131</v>
      </c>
      <c r="C3994" s="475" t="str">
        <f>IF(B3994="","",IF($A$8="NÃO DESONERADO",(IF(A3994="SINAPI",VLOOKUP(B3994,#REF!,2,0),IF(A3994="SUDECAP",VLOOKUP(B3994,#REF!,3,0),IF(A3994="SETOP",VLOOKUP(B3994,#REF!,2,0),IF(A3994="COTAÇÃO",VLOOKUP(B3994,'Mapa Cotações'!$A:$N,2,0)))))),(IF(A3994="SINAPI",VLOOKUP(B3994,#REF!,2,0),IF(A3994="SUDECAP",VLOOKUP(B3994,#REF!,3,0),IF(A3994="SETOP",VLOOKUP(B3994,#REF!,2,0),IF(A3994="COTAÇÃO",VLOOKUP(B3994,'Mapa Cotações'!$A:$N,2,0))))))))</f>
        <v xml:space="preserve">ATENUADOR DE RUÍDO COM CARCAÇA E CÉLULAS DE CHAPA GALVANIZADA, COM MATERIAL DE ABSORÇÃO EM LÂ MINERAL REVESTIDO COM TELA DE VIDRO. MODELO KS-200 - ATR-02
VAZÃO DE AR  = 10453 M3/H
PERDA DE CARGA =39 PA
VELOCIDADE NA CÉLULA  = 9,2 M3/H / LW (DB(A)=42 / NÚMERO DE CÉLULAS = 3
LARGURA/ALTURA/COMPRIMENTO = 1000/800/1400 MM / PESO = 101 KG
FREQUENCIA/ATENUAÇÃO  -    63HZ/4   125/11   250/22  500/21  1000/27  2000/19  4000/13  8000/12   
REF.:BERLINER LUFT OU EQUIVALENTE     </v>
      </c>
      <c r="D3994" s="89" t="str">
        <f>IF(B3994="","",IF($A$8="NÃO DESONERADO",(IF(A3994="SINAPI",VLOOKUP(B3994,#REF!,3,0),IF(A3994="SUDECAP",VLOOKUP(B3994,#REF!,4,0),IF(A3994="SETOP",VLOOKUP(B3994,#REF!,3,0),IF(A3994="COTAÇÃO",VLOOKUP(B3994,'Mapa Cotações'!$A:$N,3,0)))))),(IF(A3994="SINAPI",VLOOKUP(B3994,#REF!,3,0),IF(A3994="SUDECAP",VLOOKUP(B3994,#REF!,4,0),IF(A3994="SETOP",VLOOKUP(B3994,#REF!,3,0),IF(A3994="COTAÇÃO",VLOOKUP(B3994,'Mapa Cotações'!$A:$N,3,0))))))))</f>
        <v>UN</v>
      </c>
      <c r="E3994" s="88">
        <v>1</v>
      </c>
      <c r="F3994" s="89">
        <f>IF(B3994="","",IF($A$8="NÃO DESONERADO",(IF(A3994="SINAPI",VLOOKUP(B3994,#REF!,4,0),IF(A3994="SUDECAP",VLOOKUP(B3994,#REF!,5,0),IF(A3994="SETOP",VLOOKUP(B3994,#REF!,4,0),IF(A3994="COTAÇÃO",VLOOKUP(B3994,'Mapa Cotações'!$A:$N,13,0)))))),(IF(A3994="SINAPI",VLOOKUP(B3994,#REF!,4,0),IF(A3994="SUDECAP",VLOOKUP(B3994,#REF!,5,0),IF(A3994="SETOP",VLOOKUP(B3994,#REF!,4,0),IF(A3994="COTAÇÃO",VLOOKUP(B3994,'Mapa Cotações'!$A:$N,13,0))))))))</f>
        <v>10235.003499999999</v>
      </c>
      <c r="G3994" s="89">
        <f>IF(D3994="","",E3994*F3994)</f>
        <v>10235.003499999999</v>
      </c>
    </row>
    <row r="3995" spans="1:11">
      <c r="A3995" s="87"/>
      <c r="B3995" s="87"/>
      <c r="C3995" s="278" t="str">
        <f>IF(B3995="","",IF($A$8="NÃO DESONERADO",(IF(A3995="SINAPI",VLOOKUP(B3995,#REF!,2,0),IF(A3995="SUDECAP",VLOOKUP(B3995,#REF!,3,0),IF(A3995="SETOP",VLOOKUP(B3995,#REF!,2,0),IF(A3995="COTAÇÃO",VLOOKUP(B3995,'Mapa Cotações'!$A:$N,2,0)))))),(IF(A3995="SINAPI",VLOOKUP(B3995,#REF!,2,0),IF(A3995="SUDECAP",VLOOKUP(B3995,#REF!,3,0),IF(A3995="SETOP",VLOOKUP(B3995,#REF!,2,0),IF(A3995="COTAÇÃO",VLOOKUP(B3995,'Mapa Cotações'!$A:$N,2,0))))))))</f>
        <v/>
      </c>
      <c r="D3995" s="89" t="str">
        <f>IF(B3995="","",IF($A$8="NÃO DESONERADO",(IF(A3995="SINAPI",VLOOKUP(B3995,#REF!,3,0),IF(A3995="SUDECAP",VLOOKUP(B3995,#REF!,4,0),IF(A3995="SETOP",VLOOKUP(B3995,#REF!,3,0),IF(A3995="COTAÇÃO",VLOOKUP(B3995,'Mapa Cotações'!$A:$N,3,0)))))),(IF(A3995="SINAPI",VLOOKUP(B3995,#REF!,3,0),IF(A3995="SUDECAP",VLOOKUP(B3995,#REF!,4,0),IF(A3995="SETOP",VLOOKUP(B3995,#REF!,3,0),IF(A3995="COTAÇÃO",VLOOKUP(B3995,'Mapa Cotações'!$A:$N,3,0))))))))</f>
        <v/>
      </c>
      <c r="E3995" s="88"/>
      <c r="F3995" s="89" t="str">
        <f>IF(B3995="","",IF($A$8="NÃO DESONERADO",(IF(A3995="SINAPI",VLOOKUP(B3995,#REF!,4,0),IF(A3995="SUDECAP",VLOOKUP(B3995,#REF!,5,0),IF(A3995="SETOP",VLOOKUP(B3995,#REF!,4,0),IF(A3995="COTAÇÃO",VLOOKUP(B3995,'Mapa Cotações'!$A:$N,13,0)))))),(IF(A3995="SINAPI",VLOOKUP(B3995,#REF!,4,0),IF(A3995="SUDECAP",VLOOKUP(B3995,#REF!,5,0),IF(A3995="SETOP",VLOOKUP(B3995,#REF!,4,0),IF(A3995="COTAÇÃO",VLOOKUP(B3995,'Mapa Cotações'!$A:$N,13,0))))))))</f>
        <v/>
      </c>
      <c r="G3995" s="89" t="str">
        <f>IF(D3995="","",E3995*F3995)</f>
        <v/>
      </c>
    </row>
    <row r="3996" spans="1:11">
      <c r="A3996" s="832" t="s">
        <v>1908</v>
      </c>
      <c r="B3996" s="833"/>
      <c r="C3996" s="833"/>
      <c r="D3996" s="833"/>
      <c r="E3996" s="833"/>
      <c r="F3996" s="834"/>
      <c r="G3996" s="90">
        <f>IF(F3994="","",(SUM(G3994:G3995)))</f>
        <v>10235.003499999999</v>
      </c>
    </row>
    <row r="3997" spans="1:11">
      <c r="A3997" s="91"/>
      <c r="B3997" s="92"/>
      <c r="C3997" s="161"/>
      <c r="D3997" s="93"/>
      <c r="E3997" s="94"/>
      <c r="F3997" s="95"/>
      <c r="G3997" s="96"/>
    </row>
    <row r="3998" spans="1:11">
      <c r="A3998" s="835" t="s">
        <v>1909</v>
      </c>
      <c r="B3998" s="836"/>
      <c r="C3998" s="836"/>
      <c r="D3998" s="836"/>
      <c r="E3998" s="836"/>
      <c r="F3998" s="836"/>
      <c r="G3998" s="837"/>
    </row>
    <row r="3999" spans="1:11">
      <c r="A3999" s="84" t="s">
        <v>1903</v>
      </c>
      <c r="B3999" s="84" t="s">
        <v>131</v>
      </c>
      <c r="C3999" s="160" t="s">
        <v>1904</v>
      </c>
      <c r="D3999" s="84" t="s">
        <v>167</v>
      </c>
      <c r="E3999" s="85" t="s">
        <v>1905</v>
      </c>
      <c r="F3999" s="86" t="s">
        <v>1906</v>
      </c>
      <c r="G3999" s="86" t="s">
        <v>1907</v>
      </c>
    </row>
    <row r="4000" spans="1:11" ht="24">
      <c r="A4000" s="636" t="s">
        <v>2</v>
      </c>
      <c r="B4000" s="636">
        <v>88243</v>
      </c>
      <c r="C4000" s="661" t="s">
        <v>2100</v>
      </c>
      <c r="D4000" s="638" t="s">
        <v>137</v>
      </c>
      <c r="E4000" s="637">
        <v>1</v>
      </c>
      <c r="F4000" s="638">
        <v>24.36</v>
      </c>
      <c r="G4000" s="638">
        <f>IF(D4000="","",E4000*F4000)</f>
        <v>24.36</v>
      </c>
    </row>
    <row r="4001" spans="1:7" ht="24">
      <c r="A4001" s="636" t="s">
        <v>2</v>
      </c>
      <c r="B4001" s="636">
        <v>100308</v>
      </c>
      <c r="C4001" s="661" t="s">
        <v>1936</v>
      </c>
      <c r="D4001" s="638" t="s">
        <v>137</v>
      </c>
      <c r="E4001" s="637">
        <v>1</v>
      </c>
      <c r="F4001" s="638">
        <v>25.97</v>
      </c>
      <c r="G4001" s="638">
        <f>IF(D4001="","",E4001*F4001)</f>
        <v>25.97</v>
      </c>
    </row>
    <row r="4002" spans="1:7">
      <c r="A4002" s="832" t="s">
        <v>1908</v>
      </c>
      <c r="B4002" s="833"/>
      <c r="C4002" s="833"/>
      <c r="D4002" s="833"/>
      <c r="E4002" s="833"/>
      <c r="F4002" s="834"/>
      <c r="G4002" s="90">
        <f>IF(F4000="","",(SUM(G4000:G4001)))</f>
        <v>50.33</v>
      </c>
    </row>
    <row r="4003" spans="1:7">
      <c r="A4003" s="91"/>
      <c r="B4003" s="92"/>
      <c r="C4003" s="162"/>
      <c r="D4003" s="92"/>
      <c r="E4003" s="97"/>
      <c r="F4003" s="98"/>
      <c r="G4003" s="96"/>
    </row>
    <row r="4004" spans="1:7">
      <c r="A4004" s="835" t="s">
        <v>1912</v>
      </c>
      <c r="B4004" s="836"/>
      <c r="C4004" s="836"/>
      <c r="D4004" s="836"/>
      <c r="E4004" s="836"/>
      <c r="F4004" s="836"/>
      <c r="G4004" s="837"/>
    </row>
    <row r="4005" spans="1:7">
      <c r="A4005" s="84" t="s">
        <v>1903</v>
      </c>
      <c r="B4005" s="84" t="s">
        <v>131</v>
      </c>
      <c r="C4005" s="160" t="s">
        <v>1904</v>
      </c>
      <c r="D4005" s="84" t="s">
        <v>167</v>
      </c>
      <c r="E4005" s="85" t="s">
        <v>1905</v>
      </c>
      <c r="F4005" s="86" t="s">
        <v>1906</v>
      </c>
      <c r="G4005" s="86" t="s">
        <v>1907</v>
      </c>
    </row>
    <row r="4006" spans="1:7">
      <c r="A4006" s="87"/>
      <c r="B4006" s="87"/>
      <c r="C4006" s="278" t="str">
        <f>IF(B4006="","",IF($A$8="NÃO DESONERADO",(IF(A4006="SINAPI",VLOOKUP(B4006,#REF!,2,0),IF(A4006="SUDECAP",VLOOKUP(B4006,#REF!,3,0),IF(A4006="SETOP",VLOOKUP(B4006,#REF!,2,0),IF(A4006="COTAÇÃO",VLOOKUP(B4006,'Mapa Cotações'!$A:$N,2,0)))))),(IF(A4006="SINAPI",VLOOKUP(B4006,#REF!,2,0),IF(A4006="SUDECAP",VLOOKUP(B4006,#REF!,3,0),IF(A4006="SETOP",VLOOKUP(B4006,#REF!,2,0),IF(A4006="COTAÇÃO",VLOOKUP(B4006,'Mapa Cotações'!$A:$N,2,0))))))))</f>
        <v/>
      </c>
      <c r="D4006" s="89" t="str">
        <f>IF(B4006="","",IF($A$8="NÃO DESONERADO",(IF(A4006="SINAPI",VLOOKUP(B4006,#REF!,3,0),IF(A4006="SUDECAP",VLOOKUP(B4006,#REF!,4,0),IF(A4006="SETOP",VLOOKUP(B4006,#REF!,3,0),IF(A4006="COTAÇÃO",VLOOKUP(B4006,'Mapa Cotações'!$A:$N,3,0)))))),(IF(A4006="SINAPI",VLOOKUP(B4006,#REF!,3,0),IF(A4006="SUDECAP",VLOOKUP(B4006,#REF!,4,0),IF(A4006="SETOP",VLOOKUP(B4006,#REF!,3,0),IF(A4006="COTAÇÃO",VLOOKUP(B4006,'Mapa Cotações'!$A:$N,3,0))))))))</f>
        <v/>
      </c>
      <c r="E4006" s="88"/>
      <c r="F4006" s="89" t="str">
        <f>IF(B4006="","",IF($A$8="NÃO DESONERADO",(IF(A4006="SINAPI",VLOOKUP(B4006,#REF!,4,0),IF(A4006="SUDECAP",VLOOKUP(B4006,#REF!,5,0),IF(A4006="SETOP",VLOOKUP(B4006,#REF!,4,0),IF(A4006="COTAÇÃO",VLOOKUP(B4006,'Mapa Cotações'!$A:$N,13,0)))))),(IF(A4006="SINAPI",VLOOKUP(B4006,#REF!,4,0),IF(A4006="SUDECAP",VLOOKUP(B4006,#REF!,5,0),IF(A4006="SETOP",VLOOKUP(B4006,#REF!,4,0),IF(A4006="COTAÇÃO",VLOOKUP(B4006,'Mapa Cotações'!$A:$N,13,0))))))))</f>
        <v/>
      </c>
      <c r="G4006" s="89" t="str">
        <f>IF(D4006="","",E4006*F4006)</f>
        <v/>
      </c>
    </row>
    <row r="4007" spans="1:7">
      <c r="A4007" s="87"/>
      <c r="B4007" s="87"/>
      <c r="C4007" s="278" t="str">
        <f>IF(B4007="","",IF($A$8="NÃO DESONERADO",(IF(A4007="SINAPI",VLOOKUP(B4007,#REF!,2,0),IF(A4007="SUDECAP",VLOOKUP(B4007,#REF!,3,0),IF(A4007="SETOP",VLOOKUP(B4007,#REF!,2,0),IF(A4007="COTAÇÃO",VLOOKUP(B4007,'Mapa Cotações'!$A:$N,2,0)))))),(IF(A4007="SINAPI",VLOOKUP(B4007,#REF!,2,0),IF(A4007="SUDECAP",VLOOKUP(B4007,#REF!,3,0),IF(A4007="SETOP",VLOOKUP(B4007,#REF!,2,0),IF(A4007="COTAÇÃO",VLOOKUP(B4007,'Mapa Cotações'!$A:$N,2,0))))))))</f>
        <v/>
      </c>
      <c r="D4007" s="89" t="str">
        <f>IF(B4007="","",IF($A$8="NÃO DESONERADO",(IF(A4007="SINAPI",VLOOKUP(B4007,#REF!,3,0),IF(A4007="SUDECAP",VLOOKUP(B4007,#REF!,4,0),IF(A4007="SETOP",VLOOKUP(B4007,#REF!,3,0),IF(A4007="COTAÇÃO",VLOOKUP(B4007,'Mapa Cotações'!$A:$N,3,0)))))),(IF(A4007="SINAPI",VLOOKUP(B4007,#REF!,3,0),IF(A4007="SUDECAP",VLOOKUP(B4007,#REF!,4,0),IF(A4007="SETOP",VLOOKUP(B4007,#REF!,3,0),IF(A4007="COTAÇÃO",VLOOKUP(B4007,'Mapa Cotações'!$A:$N,3,0))))))))</f>
        <v/>
      </c>
      <c r="E4007" s="88"/>
      <c r="F4007" s="89" t="str">
        <f>IF(B4007="","",IF($A$8="NÃO DESONERADO",(IF(A4007="SINAPI",VLOOKUP(B4007,#REF!,4,0),IF(A4007="SUDECAP",VLOOKUP(B4007,#REF!,5,0),IF(A4007="SETOP",VLOOKUP(B4007,#REF!,4,0),IF(A4007="COTAÇÃO",VLOOKUP(B4007,'Mapa Cotações'!$A:$N,13,0)))))),(IF(A4007="SINAPI",VLOOKUP(B4007,#REF!,4,0),IF(A4007="SUDECAP",VLOOKUP(B4007,#REF!,5,0),IF(A4007="SETOP",VLOOKUP(B4007,#REF!,4,0),IF(A4007="COTAÇÃO",VLOOKUP(B4007,'Mapa Cotações'!$A:$N,13,0))))))))</f>
        <v/>
      </c>
      <c r="G4007" s="89" t="str">
        <f>IF(D4007="","",E4007*F4007)</f>
        <v/>
      </c>
    </row>
    <row r="4008" spans="1:7">
      <c r="A4008" s="832" t="s">
        <v>1908</v>
      </c>
      <c r="B4008" s="833" t="s">
        <v>1908</v>
      </c>
      <c r="C4008" s="833"/>
      <c r="D4008" s="833"/>
      <c r="E4008" s="833"/>
      <c r="F4008" s="834"/>
      <c r="G4008" s="90" t="str">
        <f>IF(F4006="","",(SUM(G4006:G4007)))</f>
        <v/>
      </c>
    </row>
    <row r="4009" spans="1:7" ht="13.5" thickBot="1">
      <c r="A4009" s="91"/>
      <c r="B4009" s="92"/>
      <c r="C4009" s="163"/>
      <c r="D4009" s="99"/>
      <c r="E4009" s="100"/>
      <c r="F4009" s="101"/>
      <c r="G4009" s="102"/>
    </row>
    <row r="4010" spans="1:7" ht="13.5" thickBot="1">
      <c r="A4010" s="838" t="s">
        <v>1259</v>
      </c>
      <c r="B4010" s="839"/>
      <c r="C4010" s="839"/>
      <c r="D4010" s="839"/>
      <c r="E4010" s="839"/>
      <c r="F4010" s="840"/>
      <c r="G4010" s="103">
        <f>SUM(G3996,G4002,G4008)</f>
        <v>10285.333499999999</v>
      </c>
    </row>
    <row r="4012" spans="1:7" hidden="1">
      <c r="A4012" s="660"/>
      <c r="B4012" s="653"/>
      <c r="C4012" s="815"/>
      <c r="D4012" s="815"/>
      <c r="E4012" s="815"/>
      <c r="F4012" s="815"/>
      <c r="G4012" s="632"/>
    </row>
    <row r="4013" spans="1:7" hidden="1">
      <c r="A4013" s="179"/>
      <c r="B4013" s="82"/>
      <c r="C4013" s="816"/>
      <c r="D4013" s="817"/>
      <c r="E4013" s="817"/>
      <c r="F4013" s="186"/>
      <c r="G4013" s="83"/>
    </row>
    <row r="4014" spans="1:7" hidden="1">
      <c r="A4014" s="818"/>
      <c r="B4014" s="819"/>
      <c r="C4014" s="819"/>
      <c r="D4014" s="819"/>
      <c r="E4014" s="819"/>
      <c r="F4014" s="819"/>
      <c r="G4014" s="820"/>
    </row>
    <row r="4015" spans="1:7" hidden="1">
      <c r="A4015" s="633"/>
      <c r="B4015" s="633"/>
      <c r="C4015" s="649"/>
      <c r="D4015" s="633"/>
      <c r="E4015" s="634"/>
      <c r="F4015" s="635"/>
      <c r="G4015" s="635"/>
    </row>
    <row r="4016" spans="1:7" hidden="1">
      <c r="A4016" s="636"/>
      <c r="B4016" s="187"/>
      <c r="C4016" s="662"/>
      <c r="D4016" s="638"/>
      <c r="E4016" s="637"/>
      <c r="F4016" s="638"/>
      <c r="G4016" s="638"/>
    </row>
    <row r="4017" spans="1:7" hidden="1">
      <c r="A4017" s="636"/>
      <c r="B4017" s="636"/>
      <c r="C4017" s="661"/>
      <c r="D4017" s="638"/>
      <c r="E4017" s="637"/>
      <c r="F4017" s="638"/>
      <c r="G4017" s="638"/>
    </row>
    <row r="4018" spans="1:7" hidden="1">
      <c r="A4018" s="821"/>
      <c r="B4018" s="822"/>
      <c r="C4018" s="822"/>
      <c r="D4018" s="822"/>
      <c r="E4018" s="822"/>
      <c r="F4018" s="823"/>
      <c r="G4018" s="613"/>
    </row>
    <row r="4019" spans="1:7" hidden="1">
      <c r="A4019" s="639"/>
      <c r="B4019" s="640"/>
      <c r="C4019" s="161"/>
      <c r="D4019" s="93"/>
      <c r="E4019" s="94"/>
      <c r="F4019" s="95"/>
      <c r="G4019" s="641"/>
    </row>
    <row r="4020" spans="1:7" hidden="1">
      <c r="A4020" s="824"/>
      <c r="B4020" s="825"/>
      <c r="C4020" s="825"/>
      <c r="D4020" s="825"/>
      <c r="E4020" s="825"/>
      <c r="F4020" s="825"/>
      <c r="G4020" s="826"/>
    </row>
    <row r="4021" spans="1:7" hidden="1">
      <c r="A4021" s="633"/>
      <c r="B4021" s="633"/>
      <c r="C4021" s="649"/>
      <c r="D4021" s="633"/>
      <c r="E4021" s="634"/>
      <c r="F4021" s="635"/>
      <c r="G4021" s="635"/>
    </row>
    <row r="4022" spans="1:7" hidden="1">
      <c r="A4022" s="636"/>
      <c r="B4022" s="636"/>
      <c r="C4022" s="661"/>
      <c r="D4022" s="638"/>
      <c r="E4022" s="637"/>
      <c r="F4022" s="638"/>
      <c r="G4022" s="638"/>
    </row>
    <row r="4023" spans="1:7" hidden="1">
      <c r="A4023" s="636"/>
      <c r="B4023" s="636"/>
      <c r="C4023" s="661"/>
      <c r="D4023" s="638"/>
      <c r="E4023" s="637"/>
      <c r="F4023" s="638"/>
      <c r="G4023" s="638"/>
    </row>
    <row r="4024" spans="1:7" hidden="1">
      <c r="A4024" s="821"/>
      <c r="B4024" s="822"/>
      <c r="C4024" s="822"/>
      <c r="D4024" s="822"/>
      <c r="E4024" s="822"/>
      <c r="F4024" s="823"/>
      <c r="G4024" s="613"/>
    </row>
    <row r="4025" spans="1:7" hidden="1">
      <c r="A4025" s="639"/>
      <c r="B4025" s="640"/>
      <c r="C4025" s="650"/>
      <c r="D4025" s="640"/>
      <c r="E4025" s="642"/>
      <c r="F4025" s="643"/>
      <c r="G4025" s="641"/>
    </row>
    <row r="4026" spans="1:7" hidden="1">
      <c r="A4026" s="824"/>
      <c r="B4026" s="825"/>
      <c r="C4026" s="825"/>
      <c r="D4026" s="825"/>
      <c r="E4026" s="825"/>
      <c r="F4026" s="825"/>
      <c r="G4026" s="826"/>
    </row>
    <row r="4027" spans="1:7" hidden="1">
      <c r="A4027" s="633"/>
      <c r="B4027" s="633"/>
      <c r="C4027" s="649"/>
      <c r="D4027" s="633"/>
      <c r="E4027" s="634"/>
      <c r="F4027" s="635"/>
      <c r="G4027" s="635"/>
    </row>
    <row r="4028" spans="1:7" hidden="1">
      <c r="A4028" s="636"/>
      <c r="B4028" s="636"/>
      <c r="C4028" s="661"/>
      <c r="D4028" s="638"/>
      <c r="E4028" s="637"/>
      <c r="F4028" s="638"/>
      <c r="G4028" s="638"/>
    </row>
    <row r="4029" spans="1:7" hidden="1">
      <c r="A4029" s="636"/>
      <c r="B4029" s="636"/>
      <c r="C4029" s="661"/>
      <c r="D4029" s="638"/>
      <c r="E4029" s="637"/>
      <c r="F4029" s="638"/>
      <c r="G4029" s="638"/>
    </row>
    <row r="4030" spans="1:7" hidden="1">
      <c r="A4030" s="821"/>
      <c r="B4030" s="822"/>
      <c r="C4030" s="822"/>
      <c r="D4030" s="822"/>
      <c r="E4030" s="822"/>
      <c r="F4030" s="823"/>
      <c r="G4030" s="613"/>
    </row>
    <row r="4031" spans="1:7" ht="13.5" hidden="1" thickBot="1">
      <c r="A4031" s="639"/>
      <c r="B4031" s="640"/>
      <c r="C4031" s="651"/>
      <c r="D4031" s="644"/>
      <c r="E4031" s="645"/>
      <c r="F4031" s="646"/>
      <c r="G4031" s="647"/>
    </row>
    <row r="4032" spans="1:7" ht="13.5" hidden="1" thickBot="1">
      <c r="A4032" s="827"/>
      <c r="B4032" s="828"/>
      <c r="C4032" s="828"/>
      <c r="D4032" s="828"/>
      <c r="E4032" s="828"/>
      <c r="F4032" s="829"/>
      <c r="G4032" s="103"/>
    </row>
    <row r="4035" spans="1:11">
      <c r="A4035" s="237" t="s">
        <v>131</v>
      </c>
      <c r="B4035" s="190" t="s">
        <v>27</v>
      </c>
      <c r="C4035" s="841" t="s">
        <v>1281</v>
      </c>
      <c r="D4035" s="841"/>
      <c r="E4035" s="841"/>
      <c r="F4035" s="841"/>
      <c r="G4035" s="81" t="s">
        <v>127</v>
      </c>
      <c r="I4035" s="480" t="s">
        <v>1901</v>
      </c>
      <c r="J4035" s="80"/>
      <c r="K4035" s="80"/>
    </row>
    <row r="4036" spans="1:11" ht="39.950000000000003" customHeight="1">
      <c r="A4036" s="179" t="s">
        <v>1125</v>
      </c>
      <c r="B4036" s="82"/>
      <c r="C4036" s="816" t="s">
        <v>3062</v>
      </c>
      <c r="D4036" s="817"/>
      <c r="E4036" s="817"/>
      <c r="F4036" s="186">
        <f>G4055</f>
        <v>10986.78</v>
      </c>
      <c r="G4036" s="83" t="s">
        <v>167</v>
      </c>
      <c r="I4036" s="481"/>
      <c r="J4036" s="272"/>
      <c r="K4036" s="272"/>
    </row>
    <row r="4037" spans="1:11">
      <c r="A4037" s="818" t="s">
        <v>1902</v>
      </c>
      <c r="B4037" s="819"/>
      <c r="C4037" s="819"/>
      <c r="D4037" s="819"/>
      <c r="E4037" s="819"/>
      <c r="F4037" s="819"/>
      <c r="G4037" s="820"/>
    </row>
    <row r="4038" spans="1:11">
      <c r="A4038" s="84" t="s">
        <v>1903</v>
      </c>
      <c r="B4038" s="84" t="s">
        <v>131</v>
      </c>
      <c r="C4038" s="160" t="s">
        <v>1904</v>
      </c>
      <c r="D4038" s="84" t="s">
        <v>167</v>
      </c>
      <c r="E4038" s="85" t="s">
        <v>1905</v>
      </c>
      <c r="F4038" s="86" t="s">
        <v>1906</v>
      </c>
      <c r="G4038" s="86" t="s">
        <v>1907</v>
      </c>
    </row>
    <row r="4039" spans="1:11" ht="35.1" customHeight="1">
      <c r="A4039" s="87" t="s">
        <v>1917</v>
      </c>
      <c r="B4039" s="187" t="s">
        <v>2133</v>
      </c>
      <c r="C4039" s="475" t="str">
        <f>IF(B4039="","",IF($A$8="NÃO DESONERADO",(IF(A4039="SINAPI",VLOOKUP(B4039,#REF!,2,0),IF(A4039="SUDECAP",VLOOKUP(B4039,#REF!,3,0),IF(A4039="SETOP",VLOOKUP(B4039,#REF!,2,0),IF(A4039="COTAÇÃO",VLOOKUP(B4039,'Mapa Cotações'!$A:$N,2,0)))))),(IF(A4039="SINAPI",VLOOKUP(B4039,#REF!,2,0),IF(A4039="SUDECAP",VLOOKUP(B4039,#REF!,3,0),IF(A4039="SETOP",VLOOKUP(B4039,#REF!,2,0),IF(A4039="COTAÇÃO",VLOOKUP(B4039,'Mapa Cotações'!$A:$N,2,0))))))))</f>
        <v xml:space="preserve">ATENUADOR DE RUÍDO COM CARCAÇA E CÉLULAS DE CHAPA GALVANIZADA, COM MATERIAL DE ABSORÇÃO EM LÂ MINERAL REVESTIDO COM TELA DE VIDRO. MODELO KS-200 - ATR-03
VAZÃO DE AR  = 8130 M3/H
PERDA DE CARGA =45 PA
VELOCIDADE NA CÉLULA  = 9,4 M3/H  / LW (DB(A)=41 / NÚMERO DE CÉLULAS = 3
LARGURA/ALTURA/COMPRIMENTO = 1000/600/1800 MM / PESO = 111 KG
FREQUENCIA/ATENUAÇÃO  -    63HZ/5   125/14   250/28  500/27  1000/33  2000/23  4000/15  8000/14   
REF.:BERLINER LUFT OU EQUIVALENTE     </v>
      </c>
      <c r="D4039" s="89" t="str">
        <f>IF(B4039="","",IF($A$8="NÃO DESONERADO",(IF(A4039="SINAPI",VLOOKUP(B4039,#REF!,3,0),IF(A4039="SUDECAP",VLOOKUP(B4039,#REF!,4,0),IF(A4039="SETOP",VLOOKUP(B4039,#REF!,3,0),IF(A4039="COTAÇÃO",VLOOKUP(B4039,'Mapa Cotações'!$A:$N,3,0)))))),(IF(A4039="SINAPI",VLOOKUP(B4039,#REF!,3,0),IF(A4039="SUDECAP",VLOOKUP(B4039,#REF!,4,0),IF(A4039="SETOP",VLOOKUP(B4039,#REF!,3,0),IF(A4039="COTAÇÃO",VLOOKUP(B4039,'Mapa Cotações'!$A:$N,3,0))))))))</f>
        <v>UN</v>
      </c>
      <c r="E4039" s="88">
        <v>1</v>
      </c>
      <c r="F4039" s="89">
        <f>IF(B4039="","",IF($A$8="NÃO DESONERADO",(IF(A4039="SINAPI",VLOOKUP(B4039,#REF!,4,0),IF(A4039="SUDECAP",VLOOKUP(B4039,#REF!,5,0),IF(A4039="SETOP",VLOOKUP(B4039,#REF!,4,0),IF(A4039="COTAÇÃO",VLOOKUP(B4039,'Mapa Cotações'!$A:$N,13,0)))))),(IF(A4039="SINAPI",VLOOKUP(B4039,#REF!,4,0),IF(A4039="SUDECAP",VLOOKUP(B4039,#REF!,5,0),IF(A4039="SETOP",VLOOKUP(B4039,#REF!,4,0),IF(A4039="COTAÇÃO",VLOOKUP(B4039,'Mapa Cotações'!$A:$N,13,0))))))))</f>
        <v>10936.45</v>
      </c>
      <c r="G4039" s="89">
        <f>IF(D4039="","",E4039*F4039)</f>
        <v>10936.45</v>
      </c>
    </row>
    <row r="4040" spans="1:11">
      <c r="A4040" s="87"/>
      <c r="B4040" s="87"/>
      <c r="C4040" s="278" t="str">
        <f>IF(B4040="","",IF($A$8="NÃO DESONERADO",(IF(A4040="SINAPI",VLOOKUP(B4040,#REF!,2,0),IF(A4040="SUDECAP",VLOOKUP(B4040,#REF!,3,0),IF(A4040="SETOP",VLOOKUP(B4040,#REF!,2,0),IF(A4040="COTAÇÃO",VLOOKUP(B4040,'Mapa Cotações'!$A:$N,2,0)))))),(IF(A4040="SINAPI",VLOOKUP(B4040,#REF!,2,0),IF(A4040="SUDECAP",VLOOKUP(B4040,#REF!,3,0),IF(A4040="SETOP",VLOOKUP(B4040,#REF!,2,0),IF(A4040="COTAÇÃO",VLOOKUP(B4040,'Mapa Cotações'!$A:$N,2,0))))))))</f>
        <v/>
      </c>
      <c r="D4040" s="89" t="str">
        <f>IF(B4040="","",IF($A$8="NÃO DESONERADO",(IF(A4040="SINAPI",VLOOKUP(B4040,#REF!,3,0),IF(A4040="SUDECAP",VLOOKUP(B4040,#REF!,4,0),IF(A4040="SETOP",VLOOKUP(B4040,#REF!,3,0),IF(A4040="COTAÇÃO",VLOOKUP(B4040,'Mapa Cotações'!$A:$N,3,0)))))),(IF(A4040="SINAPI",VLOOKUP(B4040,#REF!,3,0),IF(A4040="SUDECAP",VLOOKUP(B4040,#REF!,4,0),IF(A4040="SETOP",VLOOKUP(B4040,#REF!,3,0),IF(A4040="COTAÇÃO",VLOOKUP(B4040,'Mapa Cotações'!$A:$N,3,0))))))))</f>
        <v/>
      </c>
      <c r="E4040" s="88"/>
      <c r="F4040" s="89" t="str">
        <f>IF(B4040="","",IF($A$8="NÃO DESONERADO",(IF(A4040="SINAPI",VLOOKUP(B4040,#REF!,4,0),IF(A4040="SUDECAP",VLOOKUP(B4040,#REF!,5,0),IF(A4040="SETOP",VLOOKUP(B4040,#REF!,4,0),IF(A4040="COTAÇÃO",VLOOKUP(B4040,'Mapa Cotações'!$A:$N,13,0)))))),(IF(A4040="SINAPI",VLOOKUP(B4040,#REF!,4,0),IF(A4040="SUDECAP",VLOOKUP(B4040,#REF!,5,0),IF(A4040="SETOP",VLOOKUP(B4040,#REF!,4,0),IF(A4040="COTAÇÃO",VLOOKUP(B4040,'Mapa Cotações'!$A:$N,13,0))))))))</f>
        <v/>
      </c>
      <c r="G4040" s="89" t="str">
        <f>IF(D4040="","",E4040*F4040)</f>
        <v/>
      </c>
    </row>
    <row r="4041" spans="1:11">
      <c r="A4041" s="832" t="s">
        <v>1908</v>
      </c>
      <c r="B4041" s="833"/>
      <c r="C4041" s="833"/>
      <c r="D4041" s="833"/>
      <c r="E4041" s="833"/>
      <c r="F4041" s="834"/>
      <c r="G4041" s="90">
        <f>IF(F4039="","",(SUM(G4039:G4040)))</f>
        <v>10936.45</v>
      </c>
    </row>
    <row r="4042" spans="1:11">
      <c r="A4042" s="91"/>
      <c r="B4042" s="92"/>
      <c r="C4042" s="161"/>
      <c r="D4042" s="93"/>
      <c r="E4042" s="94"/>
      <c r="F4042" s="95"/>
      <c r="G4042" s="96"/>
    </row>
    <row r="4043" spans="1:11">
      <c r="A4043" s="835" t="s">
        <v>1909</v>
      </c>
      <c r="B4043" s="836"/>
      <c r="C4043" s="836"/>
      <c r="D4043" s="836"/>
      <c r="E4043" s="836"/>
      <c r="F4043" s="836"/>
      <c r="G4043" s="837"/>
    </row>
    <row r="4044" spans="1:11">
      <c r="A4044" s="84" t="s">
        <v>1903</v>
      </c>
      <c r="B4044" s="84" t="s">
        <v>131</v>
      </c>
      <c r="C4044" s="160" t="s">
        <v>1904</v>
      </c>
      <c r="D4044" s="84" t="s">
        <v>167</v>
      </c>
      <c r="E4044" s="85" t="s">
        <v>1905</v>
      </c>
      <c r="F4044" s="86" t="s">
        <v>1906</v>
      </c>
      <c r="G4044" s="86" t="s">
        <v>1907</v>
      </c>
    </row>
    <row r="4045" spans="1:11" ht="24">
      <c r="A4045" s="636" t="s">
        <v>2</v>
      </c>
      <c r="B4045" s="636">
        <v>88243</v>
      </c>
      <c r="C4045" s="661" t="s">
        <v>2100</v>
      </c>
      <c r="D4045" s="638" t="s">
        <v>137</v>
      </c>
      <c r="E4045" s="637">
        <v>1</v>
      </c>
      <c r="F4045" s="638">
        <v>24.36</v>
      </c>
      <c r="G4045" s="638">
        <f>IF(D4045="","",E4045*F4045)</f>
        <v>24.36</v>
      </c>
    </row>
    <row r="4046" spans="1:11" ht="24">
      <c r="A4046" s="636" t="s">
        <v>2</v>
      </c>
      <c r="B4046" s="636">
        <v>100308</v>
      </c>
      <c r="C4046" s="661" t="s">
        <v>1936</v>
      </c>
      <c r="D4046" s="638" t="s">
        <v>137</v>
      </c>
      <c r="E4046" s="637">
        <v>1</v>
      </c>
      <c r="F4046" s="638">
        <v>25.97</v>
      </c>
      <c r="G4046" s="638">
        <f>IF(D4046="","",E4046*F4046)</f>
        <v>25.97</v>
      </c>
    </row>
    <row r="4047" spans="1:11">
      <c r="A4047" s="832" t="s">
        <v>1908</v>
      </c>
      <c r="B4047" s="833"/>
      <c r="C4047" s="833"/>
      <c r="D4047" s="833"/>
      <c r="E4047" s="833"/>
      <c r="F4047" s="834"/>
      <c r="G4047" s="90">
        <f>IF(F4045="","",(SUM(G4045:G4046)))</f>
        <v>50.33</v>
      </c>
    </row>
    <row r="4048" spans="1:11">
      <c r="A4048" s="91"/>
      <c r="B4048" s="92"/>
      <c r="C4048" s="162"/>
      <c r="D4048" s="92"/>
      <c r="E4048" s="97"/>
      <c r="F4048" s="98"/>
      <c r="G4048" s="96"/>
    </row>
    <row r="4049" spans="1:7">
      <c r="A4049" s="835" t="s">
        <v>1912</v>
      </c>
      <c r="B4049" s="836"/>
      <c r="C4049" s="836"/>
      <c r="D4049" s="836"/>
      <c r="E4049" s="836"/>
      <c r="F4049" s="836"/>
      <c r="G4049" s="837"/>
    </row>
    <row r="4050" spans="1:7">
      <c r="A4050" s="84" t="s">
        <v>1903</v>
      </c>
      <c r="B4050" s="84" t="s">
        <v>131</v>
      </c>
      <c r="C4050" s="160" t="s">
        <v>1904</v>
      </c>
      <c r="D4050" s="84" t="s">
        <v>167</v>
      </c>
      <c r="E4050" s="85" t="s">
        <v>1905</v>
      </c>
      <c r="F4050" s="86" t="s">
        <v>1906</v>
      </c>
      <c r="G4050" s="86" t="s">
        <v>1907</v>
      </c>
    </row>
    <row r="4051" spans="1:7">
      <c r="A4051" s="87"/>
      <c r="B4051" s="87"/>
      <c r="C4051" s="278" t="str">
        <f>IF(B4051="","",IF($A$8="NÃO DESONERADO",(IF(A4051="SINAPI",VLOOKUP(B4051,#REF!,2,0),IF(A4051="SUDECAP",VLOOKUP(B4051,#REF!,3,0),IF(A4051="SETOP",VLOOKUP(B4051,#REF!,2,0),IF(A4051="COTAÇÃO",VLOOKUP(B4051,'Mapa Cotações'!$A:$N,2,0)))))),(IF(A4051="SINAPI",VLOOKUP(B4051,#REF!,2,0),IF(A4051="SUDECAP",VLOOKUP(B4051,#REF!,3,0),IF(A4051="SETOP",VLOOKUP(B4051,#REF!,2,0),IF(A4051="COTAÇÃO",VLOOKUP(B4051,'Mapa Cotações'!$A:$N,2,0))))))))</f>
        <v/>
      </c>
      <c r="D4051" s="89" t="str">
        <f>IF(B4051="","",IF($A$8="NÃO DESONERADO",(IF(A4051="SINAPI",VLOOKUP(B4051,#REF!,3,0),IF(A4051="SUDECAP",VLOOKUP(B4051,#REF!,4,0),IF(A4051="SETOP",VLOOKUP(B4051,#REF!,3,0),IF(A4051="COTAÇÃO",VLOOKUP(B4051,'Mapa Cotações'!$A:$N,3,0)))))),(IF(A4051="SINAPI",VLOOKUP(B4051,#REF!,3,0),IF(A4051="SUDECAP",VLOOKUP(B4051,#REF!,4,0),IF(A4051="SETOP",VLOOKUP(B4051,#REF!,3,0),IF(A4051="COTAÇÃO",VLOOKUP(B4051,'Mapa Cotações'!$A:$N,3,0))))))))</f>
        <v/>
      </c>
      <c r="E4051" s="88"/>
      <c r="F4051" s="89" t="str">
        <f>IF(B4051="","",IF($A$8="NÃO DESONERADO",(IF(A4051="SINAPI",VLOOKUP(B4051,#REF!,4,0),IF(A4051="SUDECAP",VLOOKUP(B4051,#REF!,5,0),IF(A4051="SETOP",VLOOKUP(B4051,#REF!,4,0),IF(A4051="COTAÇÃO",VLOOKUP(B4051,'Mapa Cotações'!$A:$N,13,0)))))),(IF(A4051="SINAPI",VLOOKUP(B4051,#REF!,4,0),IF(A4051="SUDECAP",VLOOKUP(B4051,#REF!,5,0),IF(A4051="SETOP",VLOOKUP(B4051,#REF!,4,0),IF(A4051="COTAÇÃO",VLOOKUP(B4051,'Mapa Cotações'!$A:$N,13,0))))))))</f>
        <v/>
      </c>
      <c r="G4051" s="89" t="str">
        <f>IF(D4051="","",E4051*F4051)</f>
        <v/>
      </c>
    </row>
    <row r="4052" spans="1:7">
      <c r="A4052" s="87"/>
      <c r="B4052" s="87"/>
      <c r="C4052" s="278" t="str">
        <f>IF(B4052="","",IF($A$8="NÃO DESONERADO",(IF(A4052="SINAPI",VLOOKUP(B4052,#REF!,2,0),IF(A4052="SUDECAP",VLOOKUP(B4052,#REF!,3,0),IF(A4052="SETOP",VLOOKUP(B4052,#REF!,2,0),IF(A4052="COTAÇÃO",VLOOKUP(B4052,'Mapa Cotações'!$A:$N,2,0)))))),(IF(A4052="SINAPI",VLOOKUP(B4052,#REF!,2,0),IF(A4052="SUDECAP",VLOOKUP(B4052,#REF!,3,0),IF(A4052="SETOP",VLOOKUP(B4052,#REF!,2,0),IF(A4052="COTAÇÃO",VLOOKUP(B4052,'Mapa Cotações'!$A:$N,2,0))))))))</f>
        <v/>
      </c>
      <c r="D4052" s="89" t="str">
        <f>IF(B4052="","",IF($A$8="NÃO DESONERADO",(IF(A4052="SINAPI",VLOOKUP(B4052,#REF!,3,0),IF(A4052="SUDECAP",VLOOKUP(B4052,#REF!,4,0),IF(A4052="SETOP",VLOOKUP(B4052,#REF!,3,0),IF(A4052="COTAÇÃO",VLOOKUP(B4052,'Mapa Cotações'!$A:$N,3,0)))))),(IF(A4052="SINAPI",VLOOKUP(B4052,#REF!,3,0),IF(A4052="SUDECAP",VLOOKUP(B4052,#REF!,4,0),IF(A4052="SETOP",VLOOKUP(B4052,#REF!,3,0),IF(A4052="COTAÇÃO",VLOOKUP(B4052,'Mapa Cotações'!$A:$N,3,0))))))))</f>
        <v/>
      </c>
      <c r="E4052" s="88"/>
      <c r="F4052" s="89" t="str">
        <f>IF(B4052="","",IF($A$8="NÃO DESONERADO",(IF(A4052="SINAPI",VLOOKUP(B4052,#REF!,4,0),IF(A4052="SUDECAP",VLOOKUP(B4052,#REF!,5,0),IF(A4052="SETOP",VLOOKUP(B4052,#REF!,4,0),IF(A4052="COTAÇÃO",VLOOKUP(B4052,'Mapa Cotações'!$A:$N,13,0)))))),(IF(A4052="SINAPI",VLOOKUP(B4052,#REF!,4,0),IF(A4052="SUDECAP",VLOOKUP(B4052,#REF!,5,0),IF(A4052="SETOP",VLOOKUP(B4052,#REF!,4,0),IF(A4052="COTAÇÃO",VLOOKUP(B4052,'Mapa Cotações'!$A:$N,13,0))))))))</f>
        <v/>
      </c>
      <c r="G4052" s="89" t="str">
        <f>IF(D4052="","",E4052*F4052)</f>
        <v/>
      </c>
    </row>
    <row r="4053" spans="1:7">
      <c r="A4053" s="832" t="s">
        <v>1908</v>
      </c>
      <c r="B4053" s="833" t="s">
        <v>1908</v>
      </c>
      <c r="C4053" s="833"/>
      <c r="D4053" s="833"/>
      <c r="E4053" s="833"/>
      <c r="F4053" s="834"/>
      <c r="G4053" s="90" t="str">
        <f>IF(F4051="","",(SUM(G4051:G4052)))</f>
        <v/>
      </c>
    </row>
    <row r="4054" spans="1:7" ht="13.5" thickBot="1">
      <c r="A4054" s="91"/>
      <c r="B4054" s="92"/>
      <c r="C4054" s="163"/>
      <c r="D4054" s="99"/>
      <c r="E4054" s="100"/>
      <c r="F4054" s="101"/>
      <c r="G4054" s="102"/>
    </row>
    <row r="4055" spans="1:7" ht="13.5" thickBot="1">
      <c r="A4055" s="838" t="s">
        <v>1259</v>
      </c>
      <c r="B4055" s="839"/>
      <c r="C4055" s="839"/>
      <c r="D4055" s="839"/>
      <c r="E4055" s="839"/>
      <c r="F4055" s="840"/>
      <c r="G4055" s="103">
        <f>SUM(G4041,G4047,G4053)</f>
        <v>10986.78</v>
      </c>
    </row>
    <row r="4057" spans="1:7" hidden="1">
      <c r="A4057" s="660"/>
      <c r="B4057" s="653"/>
      <c r="C4057" s="815"/>
      <c r="D4057" s="815"/>
      <c r="E4057" s="815"/>
      <c r="F4057" s="815"/>
      <c r="G4057" s="632"/>
    </row>
    <row r="4058" spans="1:7" hidden="1">
      <c r="A4058" s="179"/>
      <c r="B4058" s="82"/>
      <c r="C4058" s="816"/>
      <c r="D4058" s="817"/>
      <c r="E4058" s="817"/>
      <c r="F4058" s="186"/>
      <c r="G4058" s="83"/>
    </row>
    <row r="4059" spans="1:7" hidden="1">
      <c r="A4059" s="818"/>
      <c r="B4059" s="819"/>
      <c r="C4059" s="819"/>
      <c r="D4059" s="819"/>
      <c r="E4059" s="819"/>
      <c r="F4059" s="819"/>
      <c r="G4059" s="820"/>
    </row>
    <row r="4060" spans="1:7" hidden="1">
      <c r="A4060" s="633"/>
      <c r="B4060" s="633"/>
      <c r="C4060" s="649"/>
      <c r="D4060" s="633"/>
      <c r="E4060" s="634"/>
      <c r="F4060" s="635"/>
      <c r="G4060" s="635"/>
    </row>
    <row r="4061" spans="1:7" hidden="1">
      <c r="A4061" s="636"/>
      <c r="B4061" s="187"/>
      <c r="C4061" s="662"/>
      <c r="D4061" s="638"/>
      <c r="E4061" s="637"/>
      <c r="F4061" s="638"/>
      <c r="G4061" s="638"/>
    </row>
    <row r="4062" spans="1:7" hidden="1">
      <c r="A4062" s="636"/>
      <c r="B4062" s="636"/>
      <c r="C4062" s="661"/>
      <c r="D4062" s="638"/>
      <c r="E4062" s="637"/>
      <c r="F4062" s="638"/>
      <c r="G4062" s="638"/>
    </row>
    <row r="4063" spans="1:7" hidden="1">
      <c r="A4063" s="821"/>
      <c r="B4063" s="822"/>
      <c r="C4063" s="822"/>
      <c r="D4063" s="822"/>
      <c r="E4063" s="822"/>
      <c r="F4063" s="823"/>
      <c r="G4063" s="613"/>
    </row>
    <row r="4064" spans="1:7" hidden="1">
      <c r="A4064" s="639"/>
      <c r="B4064" s="640"/>
      <c r="C4064" s="161"/>
      <c r="D4064" s="93"/>
      <c r="E4064" s="94"/>
      <c r="F4064" s="95"/>
      <c r="G4064" s="641"/>
    </row>
    <row r="4065" spans="1:11" hidden="1">
      <c r="A4065" s="824"/>
      <c r="B4065" s="825"/>
      <c r="C4065" s="825"/>
      <c r="D4065" s="825"/>
      <c r="E4065" s="825"/>
      <c r="F4065" s="825"/>
      <c r="G4065" s="826"/>
    </row>
    <row r="4066" spans="1:11" hidden="1">
      <c r="A4066" s="633"/>
      <c r="B4066" s="633"/>
      <c r="C4066" s="649"/>
      <c r="D4066" s="633"/>
      <c r="E4066" s="634"/>
      <c r="F4066" s="635"/>
      <c r="G4066" s="635"/>
    </row>
    <row r="4067" spans="1:11" hidden="1">
      <c r="A4067" s="636"/>
      <c r="B4067" s="636"/>
      <c r="C4067" s="661"/>
      <c r="D4067" s="638"/>
      <c r="E4067" s="637"/>
      <c r="F4067" s="638"/>
      <c r="G4067" s="638"/>
    </row>
    <row r="4068" spans="1:11" hidden="1">
      <c r="A4068" s="636"/>
      <c r="B4068" s="636"/>
      <c r="C4068" s="661"/>
      <c r="D4068" s="638"/>
      <c r="E4068" s="637"/>
      <c r="F4068" s="638"/>
      <c r="G4068" s="638"/>
    </row>
    <row r="4069" spans="1:11" hidden="1">
      <c r="A4069" s="821"/>
      <c r="B4069" s="822"/>
      <c r="C4069" s="822"/>
      <c r="D4069" s="822"/>
      <c r="E4069" s="822"/>
      <c r="F4069" s="823"/>
      <c r="G4069" s="613"/>
    </row>
    <row r="4070" spans="1:11" hidden="1">
      <c r="A4070" s="639"/>
      <c r="B4070" s="640"/>
      <c r="C4070" s="650"/>
      <c r="D4070" s="640"/>
      <c r="E4070" s="642"/>
      <c r="F4070" s="643"/>
      <c r="G4070" s="641"/>
    </row>
    <row r="4071" spans="1:11" hidden="1">
      <c r="A4071" s="824"/>
      <c r="B4071" s="825"/>
      <c r="C4071" s="825"/>
      <c r="D4071" s="825"/>
      <c r="E4071" s="825"/>
      <c r="F4071" s="825"/>
      <c r="G4071" s="826"/>
    </row>
    <row r="4072" spans="1:11" hidden="1">
      <c r="A4072" s="633"/>
      <c r="B4072" s="633"/>
      <c r="C4072" s="649"/>
      <c r="D4072" s="633"/>
      <c r="E4072" s="634"/>
      <c r="F4072" s="635"/>
      <c r="G4072" s="635"/>
    </row>
    <row r="4073" spans="1:11" hidden="1">
      <c r="A4073" s="636"/>
      <c r="B4073" s="636"/>
      <c r="C4073" s="661"/>
      <c r="D4073" s="638"/>
      <c r="E4073" s="637"/>
      <c r="F4073" s="638"/>
      <c r="G4073" s="638"/>
    </row>
    <row r="4074" spans="1:11" hidden="1">
      <c r="A4074" s="636"/>
      <c r="B4074" s="636"/>
      <c r="C4074" s="661"/>
      <c r="D4074" s="638"/>
      <c r="E4074" s="637"/>
      <c r="F4074" s="638"/>
      <c r="G4074" s="638"/>
    </row>
    <row r="4075" spans="1:11" hidden="1">
      <c r="A4075" s="821"/>
      <c r="B4075" s="822"/>
      <c r="C4075" s="822"/>
      <c r="D4075" s="822"/>
      <c r="E4075" s="822"/>
      <c r="F4075" s="823"/>
      <c r="G4075" s="613"/>
    </row>
    <row r="4076" spans="1:11" ht="13.5" hidden="1" thickBot="1">
      <c r="A4076" s="639"/>
      <c r="B4076" s="640"/>
      <c r="C4076" s="651"/>
      <c r="D4076" s="644"/>
      <c r="E4076" s="645"/>
      <c r="F4076" s="646"/>
      <c r="G4076" s="647"/>
    </row>
    <row r="4077" spans="1:11" ht="13.5" hidden="1" thickBot="1">
      <c r="A4077" s="827"/>
      <c r="B4077" s="828"/>
      <c r="C4077" s="828"/>
      <c r="D4077" s="828"/>
      <c r="E4077" s="828"/>
      <c r="F4077" s="829"/>
      <c r="G4077" s="103"/>
    </row>
    <row r="4079" spans="1:11">
      <c r="A4079" s="237" t="s">
        <v>131</v>
      </c>
      <c r="B4079" s="190" t="s">
        <v>27</v>
      </c>
      <c r="C4079" s="841" t="s">
        <v>1281</v>
      </c>
      <c r="D4079" s="841"/>
      <c r="E4079" s="841"/>
      <c r="F4079" s="841"/>
      <c r="G4079" s="81" t="s">
        <v>127</v>
      </c>
      <c r="I4079" s="480" t="s">
        <v>1901</v>
      </c>
      <c r="J4079" s="80"/>
      <c r="K4079" s="80"/>
    </row>
    <row r="4080" spans="1:11" ht="39.950000000000003" customHeight="1">
      <c r="A4080" s="179" t="s">
        <v>1128</v>
      </c>
      <c r="B4080" s="82"/>
      <c r="C4080" s="816" t="s">
        <v>3063</v>
      </c>
      <c r="D4080" s="817"/>
      <c r="E4080" s="817"/>
      <c r="F4080" s="186">
        <f>G4099</f>
        <v>6880.72</v>
      </c>
      <c r="G4080" s="83" t="s">
        <v>167</v>
      </c>
      <c r="I4080" s="481"/>
      <c r="J4080" s="272"/>
      <c r="K4080" s="272"/>
    </row>
    <row r="4081" spans="1:7">
      <c r="A4081" s="818" t="s">
        <v>1902</v>
      </c>
      <c r="B4081" s="819"/>
      <c r="C4081" s="819"/>
      <c r="D4081" s="819"/>
      <c r="E4081" s="819"/>
      <c r="F4081" s="819"/>
      <c r="G4081" s="820"/>
    </row>
    <row r="4082" spans="1:7">
      <c r="A4082" s="84" t="s">
        <v>1903</v>
      </c>
      <c r="B4082" s="84" t="s">
        <v>131</v>
      </c>
      <c r="C4082" s="160" t="s">
        <v>1904</v>
      </c>
      <c r="D4082" s="84" t="s">
        <v>167</v>
      </c>
      <c r="E4082" s="85" t="s">
        <v>1905</v>
      </c>
      <c r="F4082" s="86" t="s">
        <v>1906</v>
      </c>
      <c r="G4082" s="86" t="s">
        <v>1907</v>
      </c>
    </row>
    <row r="4083" spans="1:7" ht="35.1" customHeight="1">
      <c r="A4083" s="87" t="s">
        <v>1917</v>
      </c>
      <c r="B4083" s="187" t="s">
        <v>2135</v>
      </c>
      <c r="C4083" s="475" t="str">
        <f>IF(B4083="","",IF($A$8="NÃO DESONERADO",(IF(A4083="SINAPI",VLOOKUP(B4083,#REF!,2,0),IF(A4083="SUDECAP",VLOOKUP(B4083,#REF!,3,0),IF(A4083="SETOP",VLOOKUP(B4083,#REF!,2,0),IF(A4083="COTAÇÃO",VLOOKUP(B4083,'Mapa Cotações'!$A:$N,2,0)))))),(IF(A4083="SINAPI",VLOOKUP(B4083,#REF!,2,0),IF(A4083="SUDECAP",VLOOKUP(B4083,#REF!,3,0),IF(A4083="SETOP",VLOOKUP(B4083,#REF!,2,0),IF(A4083="COTAÇÃO",VLOOKUP(B4083,'Mapa Cotações'!$A:$N,2,0))))))))</f>
        <v xml:space="preserve">ATENUADOR DE RUÍDO COM CARCAÇA E CÉLULAS DE CHAPA GALVANIZADA, COM MATERIAL DE ABSORÇÃO EM LÂ MINERAL REVESTIDO COM TELA DE VIDRO. MODELO KS-200 - ATR-04 
VAZÃO DE AR  = 10560 M3/H
PERDA DE CARGA =43 PA
VELOCIDADE NA CÉLULA  = 9,8 M3/H / LW (DB(A)=43 /NÚMERO DE CÉLULAS = 3 
LARGURA/ALTURA/COMPRIMENTO = 1100/600/1000 MM /PESO = 65 KG  
FREQUENCIA/ATENUAÇÃO  -    63HZ/2   125/7   250/13  500/13  1000/16  2000/12  4000/10  8000/9   
REF.:BERLINER LUFT OU EQUIVALENTE      </v>
      </c>
      <c r="D4083" s="89" t="str">
        <f>IF(B4083="","",IF($A$8="NÃO DESONERADO",(IF(A4083="SINAPI",VLOOKUP(B4083,#REF!,3,0),IF(A4083="SUDECAP",VLOOKUP(B4083,#REF!,4,0),IF(A4083="SETOP",VLOOKUP(B4083,#REF!,3,0),IF(A4083="COTAÇÃO",VLOOKUP(B4083,'Mapa Cotações'!$A:$N,3,0)))))),(IF(A4083="SINAPI",VLOOKUP(B4083,#REF!,3,0),IF(A4083="SUDECAP",VLOOKUP(B4083,#REF!,4,0),IF(A4083="SETOP",VLOOKUP(B4083,#REF!,3,0),IF(A4083="COTAÇÃO",VLOOKUP(B4083,'Mapa Cotações'!$A:$N,3,0))))))))</f>
        <v>UN</v>
      </c>
      <c r="E4083" s="88">
        <v>1</v>
      </c>
      <c r="F4083" s="89">
        <f>IF(B4083="","",IF($A$8="NÃO DESONERADO",(IF(A4083="SINAPI",VLOOKUP(B4083,#REF!,4,0),IF(A4083="SUDECAP",VLOOKUP(B4083,#REF!,5,0),IF(A4083="SETOP",VLOOKUP(B4083,#REF!,4,0),IF(A4083="COTAÇÃO",VLOOKUP(B4083,'Mapa Cotações'!$A:$N,13,0)))))),(IF(A4083="SINAPI",VLOOKUP(B4083,#REF!,4,0),IF(A4083="SUDECAP",VLOOKUP(B4083,#REF!,5,0),IF(A4083="SETOP",VLOOKUP(B4083,#REF!,4,0),IF(A4083="COTAÇÃO",VLOOKUP(B4083,'Mapa Cotações'!$A:$N,13,0))))))))</f>
        <v>6830.39</v>
      </c>
      <c r="G4083" s="89">
        <f>IF(D4083="","",E4083*F4083)</f>
        <v>6830.39</v>
      </c>
    </row>
    <row r="4084" spans="1:7">
      <c r="A4084" s="87"/>
      <c r="B4084" s="87"/>
      <c r="C4084" s="278" t="str">
        <f>IF(B4084="","",IF($A$8="NÃO DESONERADO",(IF(A4084="SINAPI",VLOOKUP(B4084,#REF!,2,0),IF(A4084="SUDECAP",VLOOKUP(B4084,#REF!,3,0),IF(A4084="SETOP",VLOOKUP(B4084,#REF!,2,0),IF(A4084="COTAÇÃO",VLOOKUP(B4084,'Mapa Cotações'!$A:$N,2,0)))))),(IF(A4084="SINAPI",VLOOKUP(B4084,#REF!,2,0),IF(A4084="SUDECAP",VLOOKUP(B4084,#REF!,3,0),IF(A4084="SETOP",VLOOKUP(B4084,#REF!,2,0),IF(A4084="COTAÇÃO",VLOOKUP(B4084,'Mapa Cotações'!$A:$N,2,0))))))))</f>
        <v/>
      </c>
      <c r="D4084" s="89" t="str">
        <f>IF(B4084="","",IF($A$8="NÃO DESONERADO",(IF(A4084="SINAPI",VLOOKUP(B4084,#REF!,3,0),IF(A4084="SUDECAP",VLOOKUP(B4084,#REF!,4,0),IF(A4084="SETOP",VLOOKUP(B4084,#REF!,3,0),IF(A4084="COTAÇÃO",VLOOKUP(B4084,'Mapa Cotações'!$A:$N,3,0)))))),(IF(A4084="SINAPI",VLOOKUP(B4084,#REF!,3,0),IF(A4084="SUDECAP",VLOOKUP(B4084,#REF!,4,0),IF(A4084="SETOP",VLOOKUP(B4084,#REF!,3,0),IF(A4084="COTAÇÃO",VLOOKUP(B4084,'Mapa Cotações'!$A:$N,3,0))))))))</f>
        <v/>
      </c>
      <c r="E4084" s="88"/>
      <c r="F4084" s="89" t="str">
        <f>IF(B4084="","",IF($A$8="NÃO DESONERADO",(IF(A4084="SINAPI",VLOOKUP(B4084,#REF!,4,0),IF(A4084="SUDECAP",VLOOKUP(B4084,#REF!,5,0),IF(A4084="SETOP",VLOOKUP(B4084,#REF!,4,0),IF(A4084="COTAÇÃO",VLOOKUP(B4084,'Mapa Cotações'!$A:$N,13,0)))))),(IF(A4084="SINAPI",VLOOKUP(B4084,#REF!,4,0),IF(A4084="SUDECAP",VLOOKUP(B4084,#REF!,5,0),IF(A4084="SETOP",VLOOKUP(B4084,#REF!,4,0),IF(A4084="COTAÇÃO",VLOOKUP(B4084,'Mapa Cotações'!$A:$N,13,0))))))))</f>
        <v/>
      </c>
      <c r="G4084" s="89" t="str">
        <f>IF(D4084="","",E4084*F4084)</f>
        <v/>
      </c>
    </row>
    <row r="4085" spans="1:7">
      <c r="A4085" s="832" t="s">
        <v>1908</v>
      </c>
      <c r="B4085" s="833"/>
      <c r="C4085" s="833"/>
      <c r="D4085" s="833"/>
      <c r="E4085" s="833"/>
      <c r="F4085" s="834"/>
      <c r="G4085" s="90">
        <f>IF(F4083="","",(SUM(G4083:G4084)))</f>
        <v>6830.39</v>
      </c>
    </row>
    <row r="4086" spans="1:7">
      <c r="A4086" s="91"/>
      <c r="B4086" s="92"/>
      <c r="C4086" s="161"/>
      <c r="D4086" s="93"/>
      <c r="E4086" s="94"/>
      <c r="F4086" s="95"/>
      <c r="G4086" s="96"/>
    </row>
    <row r="4087" spans="1:7">
      <c r="A4087" s="835" t="s">
        <v>1909</v>
      </c>
      <c r="B4087" s="836"/>
      <c r="C4087" s="836"/>
      <c r="D4087" s="836"/>
      <c r="E4087" s="836"/>
      <c r="F4087" s="836"/>
      <c r="G4087" s="837"/>
    </row>
    <row r="4088" spans="1:7">
      <c r="A4088" s="84" t="s">
        <v>1903</v>
      </c>
      <c r="B4088" s="84" t="s">
        <v>131</v>
      </c>
      <c r="C4088" s="160" t="s">
        <v>1904</v>
      </c>
      <c r="D4088" s="84" t="s">
        <v>167</v>
      </c>
      <c r="E4088" s="85" t="s">
        <v>1905</v>
      </c>
      <c r="F4088" s="86" t="s">
        <v>1906</v>
      </c>
      <c r="G4088" s="86" t="s">
        <v>1907</v>
      </c>
    </row>
    <row r="4089" spans="1:7" ht="24">
      <c r="A4089" s="636" t="s">
        <v>2</v>
      </c>
      <c r="B4089" s="636">
        <v>88243</v>
      </c>
      <c r="C4089" s="661" t="s">
        <v>2100</v>
      </c>
      <c r="D4089" s="638" t="s">
        <v>137</v>
      </c>
      <c r="E4089" s="637">
        <v>1</v>
      </c>
      <c r="F4089" s="638">
        <v>24.36</v>
      </c>
      <c r="G4089" s="638">
        <f>IF(D4089="","",E4089*F4089)</f>
        <v>24.36</v>
      </c>
    </row>
    <row r="4090" spans="1:7" ht="24">
      <c r="A4090" s="636" t="s">
        <v>2</v>
      </c>
      <c r="B4090" s="636">
        <v>100308</v>
      </c>
      <c r="C4090" s="661" t="s">
        <v>1936</v>
      </c>
      <c r="D4090" s="638" t="s">
        <v>137</v>
      </c>
      <c r="E4090" s="637">
        <v>1</v>
      </c>
      <c r="F4090" s="638">
        <v>25.97</v>
      </c>
      <c r="G4090" s="638">
        <f>IF(D4090="","",E4090*F4090)</f>
        <v>25.97</v>
      </c>
    </row>
    <row r="4091" spans="1:7">
      <c r="A4091" s="832" t="s">
        <v>1908</v>
      </c>
      <c r="B4091" s="833"/>
      <c r="C4091" s="833"/>
      <c r="D4091" s="833"/>
      <c r="E4091" s="833"/>
      <c r="F4091" s="834"/>
      <c r="G4091" s="90">
        <f>IF(F4089="","",(SUM(G4089:G4090)))</f>
        <v>50.33</v>
      </c>
    </row>
    <row r="4092" spans="1:7">
      <c r="A4092" s="91"/>
      <c r="B4092" s="92"/>
      <c r="C4092" s="162"/>
      <c r="D4092" s="92"/>
      <c r="E4092" s="97"/>
      <c r="F4092" s="98"/>
      <c r="G4092" s="96"/>
    </row>
    <row r="4093" spans="1:7">
      <c r="A4093" s="835" t="s">
        <v>1912</v>
      </c>
      <c r="B4093" s="836"/>
      <c r="C4093" s="836"/>
      <c r="D4093" s="836"/>
      <c r="E4093" s="836"/>
      <c r="F4093" s="836"/>
      <c r="G4093" s="837"/>
    </row>
    <row r="4094" spans="1:7">
      <c r="A4094" s="84" t="s">
        <v>1903</v>
      </c>
      <c r="B4094" s="84" t="s">
        <v>131</v>
      </c>
      <c r="C4094" s="160" t="s">
        <v>1904</v>
      </c>
      <c r="D4094" s="84" t="s">
        <v>167</v>
      </c>
      <c r="E4094" s="85" t="s">
        <v>1905</v>
      </c>
      <c r="F4094" s="86" t="s">
        <v>1906</v>
      </c>
      <c r="G4094" s="86" t="s">
        <v>1907</v>
      </c>
    </row>
    <row r="4095" spans="1:7">
      <c r="A4095" s="87"/>
      <c r="B4095" s="87"/>
      <c r="C4095" s="278" t="str">
        <f>IF(B4095="","",IF($A$8="NÃO DESONERADO",(IF(A4095="SINAPI",VLOOKUP(B4095,#REF!,2,0),IF(A4095="SUDECAP",VLOOKUP(B4095,#REF!,3,0),IF(A4095="SETOP",VLOOKUP(B4095,#REF!,2,0),IF(A4095="COTAÇÃO",VLOOKUP(B4095,'Mapa Cotações'!$A:$N,2,0)))))),(IF(A4095="SINAPI",VLOOKUP(B4095,#REF!,2,0),IF(A4095="SUDECAP",VLOOKUP(B4095,#REF!,3,0),IF(A4095="SETOP",VLOOKUP(B4095,#REF!,2,0),IF(A4095="COTAÇÃO",VLOOKUP(B4095,'Mapa Cotações'!$A:$N,2,0))))))))</f>
        <v/>
      </c>
      <c r="D4095" s="89" t="str">
        <f>IF(B4095="","",IF($A$8="NÃO DESONERADO",(IF(A4095="SINAPI",VLOOKUP(B4095,#REF!,3,0),IF(A4095="SUDECAP",VLOOKUP(B4095,#REF!,4,0),IF(A4095="SETOP",VLOOKUP(B4095,#REF!,3,0),IF(A4095="COTAÇÃO",VLOOKUP(B4095,'Mapa Cotações'!$A:$N,3,0)))))),(IF(A4095="SINAPI",VLOOKUP(B4095,#REF!,3,0),IF(A4095="SUDECAP",VLOOKUP(B4095,#REF!,4,0),IF(A4095="SETOP",VLOOKUP(B4095,#REF!,3,0),IF(A4095="COTAÇÃO",VLOOKUP(B4095,'Mapa Cotações'!$A:$N,3,0))))))))</f>
        <v/>
      </c>
      <c r="E4095" s="88"/>
      <c r="F4095" s="89" t="str">
        <f>IF(B4095="","",IF($A$8="NÃO DESONERADO",(IF(A4095="SINAPI",VLOOKUP(B4095,#REF!,4,0),IF(A4095="SUDECAP",VLOOKUP(B4095,#REF!,5,0),IF(A4095="SETOP",VLOOKUP(B4095,#REF!,4,0),IF(A4095="COTAÇÃO",VLOOKUP(B4095,'Mapa Cotações'!$A:$N,13,0)))))),(IF(A4095="SINAPI",VLOOKUP(B4095,#REF!,4,0),IF(A4095="SUDECAP",VLOOKUP(B4095,#REF!,5,0),IF(A4095="SETOP",VLOOKUP(B4095,#REF!,4,0),IF(A4095="COTAÇÃO",VLOOKUP(B4095,'Mapa Cotações'!$A:$N,13,0))))))))</f>
        <v/>
      </c>
      <c r="G4095" s="89" t="str">
        <f>IF(D4095="","",E4095*F4095)</f>
        <v/>
      </c>
    </row>
    <row r="4096" spans="1:7">
      <c r="A4096" s="87"/>
      <c r="B4096" s="87"/>
      <c r="C4096" s="278" t="str">
        <f>IF(B4096="","",IF($A$8="NÃO DESONERADO",(IF(A4096="SINAPI",VLOOKUP(B4096,#REF!,2,0),IF(A4096="SUDECAP",VLOOKUP(B4096,#REF!,3,0),IF(A4096="SETOP",VLOOKUP(B4096,#REF!,2,0),IF(A4096="COTAÇÃO",VLOOKUP(B4096,'Mapa Cotações'!$A:$N,2,0)))))),(IF(A4096="SINAPI",VLOOKUP(B4096,#REF!,2,0),IF(A4096="SUDECAP",VLOOKUP(B4096,#REF!,3,0),IF(A4096="SETOP",VLOOKUP(B4096,#REF!,2,0),IF(A4096="COTAÇÃO",VLOOKUP(B4096,'Mapa Cotações'!$A:$N,2,0))))))))</f>
        <v/>
      </c>
      <c r="D4096" s="89" t="str">
        <f>IF(B4096="","",IF($A$8="NÃO DESONERADO",(IF(A4096="SINAPI",VLOOKUP(B4096,#REF!,3,0),IF(A4096="SUDECAP",VLOOKUP(B4096,#REF!,4,0),IF(A4096="SETOP",VLOOKUP(B4096,#REF!,3,0),IF(A4096="COTAÇÃO",VLOOKUP(B4096,'Mapa Cotações'!$A:$N,3,0)))))),(IF(A4096="SINAPI",VLOOKUP(B4096,#REF!,3,0),IF(A4096="SUDECAP",VLOOKUP(B4096,#REF!,4,0),IF(A4096="SETOP",VLOOKUP(B4096,#REF!,3,0),IF(A4096="COTAÇÃO",VLOOKUP(B4096,'Mapa Cotações'!$A:$N,3,0))))))))</f>
        <v/>
      </c>
      <c r="E4096" s="88"/>
      <c r="F4096" s="89" t="str">
        <f>IF(B4096="","",IF($A$8="NÃO DESONERADO",(IF(A4096="SINAPI",VLOOKUP(B4096,#REF!,4,0),IF(A4096="SUDECAP",VLOOKUP(B4096,#REF!,5,0),IF(A4096="SETOP",VLOOKUP(B4096,#REF!,4,0),IF(A4096="COTAÇÃO",VLOOKUP(B4096,'Mapa Cotações'!$A:$N,13,0)))))),(IF(A4096="SINAPI",VLOOKUP(B4096,#REF!,4,0),IF(A4096="SUDECAP",VLOOKUP(B4096,#REF!,5,0),IF(A4096="SETOP",VLOOKUP(B4096,#REF!,4,0),IF(A4096="COTAÇÃO",VLOOKUP(B4096,'Mapa Cotações'!$A:$N,13,0))))))))</f>
        <v/>
      </c>
      <c r="G4096" s="89" t="str">
        <f>IF(D4096="","",E4096*F4096)</f>
        <v/>
      </c>
    </row>
    <row r="4097" spans="1:7">
      <c r="A4097" s="832" t="s">
        <v>1908</v>
      </c>
      <c r="B4097" s="833" t="s">
        <v>1908</v>
      </c>
      <c r="C4097" s="833"/>
      <c r="D4097" s="833"/>
      <c r="E4097" s="833"/>
      <c r="F4097" s="834"/>
      <c r="G4097" s="90" t="str">
        <f>IF(F4095="","",(SUM(G4095:G4096)))</f>
        <v/>
      </c>
    </row>
    <row r="4098" spans="1:7" ht="13.5" thickBot="1">
      <c r="A4098" s="91"/>
      <c r="B4098" s="92"/>
      <c r="C4098" s="163"/>
      <c r="D4098" s="99"/>
      <c r="E4098" s="100"/>
      <c r="F4098" s="101"/>
      <c r="G4098" s="102"/>
    </row>
    <row r="4099" spans="1:7" ht="13.5" thickBot="1">
      <c r="A4099" s="838" t="s">
        <v>1259</v>
      </c>
      <c r="B4099" s="839"/>
      <c r="C4099" s="839"/>
      <c r="D4099" s="839"/>
      <c r="E4099" s="839"/>
      <c r="F4099" s="840"/>
      <c r="G4099" s="103">
        <f>SUM(G4085,G4091,G4097)</f>
        <v>6880.72</v>
      </c>
    </row>
    <row r="4101" spans="1:7" hidden="1">
      <c r="A4101" s="660"/>
      <c r="B4101" s="653"/>
      <c r="C4101" s="815"/>
      <c r="D4101" s="815"/>
      <c r="E4101" s="815"/>
      <c r="F4101" s="815"/>
      <c r="G4101" s="632"/>
    </row>
    <row r="4102" spans="1:7" hidden="1">
      <c r="A4102" s="179"/>
      <c r="B4102" s="82"/>
      <c r="C4102" s="816"/>
      <c r="D4102" s="817"/>
      <c r="E4102" s="817"/>
      <c r="F4102" s="186"/>
      <c r="G4102" s="83"/>
    </row>
    <row r="4103" spans="1:7" hidden="1">
      <c r="A4103" s="818"/>
      <c r="B4103" s="819"/>
      <c r="C4103" s="819"/>
      <c r="D4103" s="819"/>
      <c r="E4103" s="819"/>
      <c r="F4103" s="819"/>
      <c r="G4103" s="820"/>
    </row>
    <row r="4104" spans="1:7" hidden="1">
      <c r="A4104" s="633"/>
      <c r="B4104" s="633"/>
      <c r="C4104" s="649"/>
      <c r="D4104" s="633"/>
      <c r="E4104" s="634"/>
      <c r="F4104" s="635"/>
      <c r="G4104" s="635"/>
    </row>
    <row r="4105" spans="1:7" hidden="1">
      <c r="A4105" s="636"/>
      <c r="B4105" s="187"/>
      <c r="C4105" s="662"/>
      <c r="D4105" s="638"/>
      <c r="E4105" s="637"/>
      <c r="F4105" s="638"/>
      <c r="G4105" s="638"/>
    </row>
    <row r="4106" spans="1:7" hidden="1">
      <c r="A4106" s="636"/>
      <c r="B4106" s="636"/>
      <c r="C4106" s="661"/>
      <c r="D4106" s="638"/>
      <c r="E4106" s="637"/>
      <c r="F4106" s="638"/>
      <c r="G4106" s="638"/>
    </row>
    <row r="4107" spans="1:7" hidden="1">
      <c r="A4107" s="821"/>
      <c r="B4107" s="822"/>
      <c r="C4107" s="822"/>
      <c r="D4107" s="822"/>
      <c r="E4107" s="822"/>
      <c r="F4107" s="823"/>
      <c r="G4107" s="613"/>
    </row>
    <row r="4108" spans="1:7" hidden="1">
      <c r="A4108" s="639"/>
      <c r="B4108" s="640"/>
      <c r="C4108" s="161"/>
      <c r="D4108" s="93"/>
      <c r="E4108" s="94"/>
      <c r="F4108" s="95"/>
      <c r="G4108" s="641"/>
    </row>
    <row r="4109" spans="1:7" hidden="1">
      <c r="A4109" s="824"/>
      <c r="B4109" s="825"/>
      <c r="C4109" s="825"/>
      <c r="D4109" s="825"/>
      <c r="E4109" s="825"/>
      <c r="F4109" s="825"/>
      <c r="G4109" s="826"/>
    </row>
    <row r="4110" spans="1:7" hidden="1">
      <c r="A4110" s="633"/>
      <c r="B4110" s="633"/>
      <c r="C4110" s="649"/>
      <c r="D4110" s="633"/>
      <c r="E4110" s="634"/>
      <c r="F4110" s="635"/>
      <c r="G4110" s="635"/>
    </row>
    <row r="4111" spans="1:7" hidden="1">
      <c r="A4111" s="636"/>
      <c r="B4111" s="636"/>
      <c r="C4111" s="661"/>
      <c r="D4111" s="638"/>
      <c r="E4111" s="637"/>
      <c r="F4111" s="638"/>
      <c r="G4111" s="638"/>
    </row>
    <row r="4112" spans="1:7" hidden="1">
      <c r="A4112" s="636"/>
      <c r="B4112" s="636"/>
      <c r="C4112" s="661"/>
      <c r="D4112" s="638"/>
      <c r="E4112" s="637"/>
      <c r="F4112" s="638"/>
      <c r="G4112" s="638"/>
    </row>
    <row r="4113" spans="1:11" hidden="1">
      <c r="A4113" s="821"/>
      <c r="B4113" s="822"/>
      <c r="C4113" s="822"/>
      <c r="D4113" s="822"/>
      <c r="E4113" s="822"/>
      <c r="F4113" s="823"/>
      <c r="G4113" s="613"/>
    </row>
    <row r="4114" spans="1:11" hidden="1">
      <c r="A4114" s="639"/>
      <c r="B4114" s="640"/>
      <c r="C4114" s="650"/>
      <c r="D4114" s="640"/>
      <c r="E4114" s="642"/>
      <c r="F4114" s="643"/>
      <c r="G4114" s="641"/>
    </row>
    <row r="4115" spans="1:11" hidden="1">
      <c r="A4115" s="824"/>
      <c r="B4115" s="825"/>
      <c r="C4115" s="825"/>
      <c r="D4115" s="825"/>
      <c r="E4115" s="825"/>
      <c r="F4115" s="825"/>
      <c r="G4115" s="826"/>
    </row>
    <row r="4116" spans="1:11" hidden="1">
      <c r="A4116" s="633"/>
      <c r="B4116" s="633"/>
      <c r="C4116" s="649"/>
      <c r="D4116" s="633"/>
      <c r="E4116" s="634"/>
      <c r="F4116" s="635"/>
      <c r="G4116" s="635"/>
    </row>
    <row r="4117" spans="1:11" hidden="1">
      <c r="A4117" s="636"/>
      <c r="B4117" s="636"/>
      <c r="C4117" s="661"/>
      <c r="D4117" s="638"/>
      <c r="E4117" s="637"/>
      <c r="F4117" s="638"/>
      <c r="G4117" s="638"/>
    </row>
    <row r="4118" spans="1:11" hidden="1">
      <c r="A4118" s="636"/>
      <c r="B4118" s="636"/>
      <c r="C4118" s="661"/>
      <c r="D4118" s="638"/>
      <c r="E4118" s="637"/>
      <c r="F4118" s="638"/>
      <c r="G4118" s="638"/>
    </row>
    <row r="4119" spans="1:11" hidden="1">
      <c r="A4119" s="821"/>
      <c r="B4119" s="822"/>
      <c r="C4119" s="822"/>
      <c r="D4119" s="822"/>
      <c r="E4119" s="822"/>
      <c r="F4119" s="823"/>
      <c r="G4119" s="613"/>
    </row>
    <row r="4120" spans="1:11" ht="13.5" hidden="1" thickBot="1">
      <c r="A4120" s="639"/>
      <c r="B4120" s="640"/>
      <c r="C4120" s="651"/>
      <c r="D4120" s="644"/>
      <c r="E4120" s="645"/>
      <c r="F4120" s="646"/>
      <c r="G4120" s="647"/>
    </row>
    <row r="4121" spans="1:11" ht="13.5" hidden="1" thickBot="1">
      <c r="A4121" s="827"/>
      <c r="B4121" s="828"/>
      <c r="C4121" s="828"/>
      <c r="D4121" s="828"/>
      <c r="E4121" s="828"/>
      <c r="F4121" s="829"/>
      <c r="G4121" s="103"/>
    </row>
    <row r="4122" spans="1:11" hidden="1"/>
    <row r="4125" spans="1:11">
      <c r="A4125" s="237" t="s">
        <v>131</v>
      </c>
      <c r="B4125" s="190" t="s">
        <v>27</v>
      </c>
      <c r="C4125" s="841" t="s">
        <v>1281</v>
      </c>
      <c r="D4125" s="841"/>
      <c r="E4125" s="841"/>
      <c r="F4125" s="841"/>
      <c r="G4125" s="81" t="s">
        <v>127</v>
      </c>
      <c r="I4125" s="480" t="s">
        <v>1901</v>
      </c>
      <c r="J4125" s="80"/>
      <c r="K4125" s="80"/>
    </row>
    <row r="4126" spans="1:11" ht="39.950000000000003" customHeight="1">
      <c r="A4126" s="179" t="s">
        <v>1131</v>
      </c>
      <c r="B4126" s="82"/>
      <c r="C4126" s="816" t="s">
        <v>3064</v>
      </c>
      <c r="D4126" s="817"/>
      <c r="E4126" s="817"/>
      <c r="F4126" s="186">
        <f>G4145</f>
        <v>7574.6359999999995</v>
      </c>
      <c r="G4126" s="83" t="s">
        <v>167</v>
      </c>
      <c r="I4126" s="481"/>
      <c r="J4126" s="272"/>
      <c r="K4126" s="272"/>
    </row>
    <row r="4127" spans="1:11">
      <c r="A4127" s="818" t="s">
        <v>1902</v>
      </c>
      <c r="B4127" s="819"/>
      <c r="C4127" s="819"/>
      <c r="D4127" s="819"/>
      <c r="E4127" s="819"/>
      <c r="F4127" s="819"/>
      <c r="G4127" s="820"/>
    </row>
    <row r="4128" spans="1:11">
      <c r="A4128" s="84" t="s">
        <v>1903</v>
      </c>
      <c r="B4128" s="84" t="s">
        <v>131</v>
      </c>
      <c r="C4128" s="160" t="s">
        <v>1904</v>
      </c>
      <c r="D4128" s="84" t="s">
        <v>167</v>
      </c>
      <c r="E4128" s="85" t="s">
        <v>1905</v>
      </c>
      <c r="F4128" s="86" t="s">
        <v>1906</v>
      </c>
      <c r="G4128" s="86" t="s">
        <v>1907</v>
      </c>
    </row>
    <row r="4129" spans="1:7" ht="35.1" customHeight="1">
      <c r="A4129" s="87" t="s">
        <v>1917</v>
      </c>
      <c r="B4129" s="187" t="s">
        <v>2137</v>
      </c>
      <c r="C4129" s="475" t="str">
        <f>IF(B4129="","",IF($A$8="NÃO DESONERADO",(IF(A4129="SINAPI",VLOOKUP(B4129,#REF!,2,0),IF(A4129="SUDECAP",VLOOKUP(B4129,#REF!,3,0),IF(A4129="SETOP",VLOOKUP(B4129,#REF!,2,0),IF(A4129="COTAÇÃO",VLOOKUP(B4129,'Mapa Cotações'!$A:$N,2,0)))))),(IF(A4129="SINAPI",VLOOKUP(B4129,#REF!,2,0),IF(A4129="SUDECAP",VLOOKUP(B4129,#REF!,3,0),IF(A4129="SETOP",VLOOKUP(B4129,#REF!,2,0),IF(A4129="COTAÇÃO",VLOOKUP(B4129,'Mapa Cotações'!$A:$N,2,0))))))))</f>
        <v xml:space="preserve">ATENUADOR DE RUÍDO COM CARCAÇA E CÉLULAS DE CHAPA GALVANIZADA, COM MATERIAL DE ABSORÇÃO EM LÂ MINERAL REVESTIDO COM TELA DE VIDRO. MODELO KS-200 - ATR-05 
VAZÃO DE AR  = 9470 M3/H
PERDA DE CARGA =50 PA 
VELOCIDADE NA CÉLULA  = 10,5 M3/H / LW (DB(A)=44  / NÚMERO DE CÉLULAS = 5
LARGURA/ALTURA/COMPRIMENTO = 1300/500/1000 MM / PESO = 72 KG  
FREQUENCIA/ATENUAÇÃO  -    63HZ/9   125/9   250/17  500/17  1000/21  2000/16  4000/12  8000/11   
REF.:BERLINER LUFT OU EQUIVALENTE      </v>
      </c>
      <c r="D4129" s="89" t="str">
        <f>IF(B4129="","",IF($A$8="NÃO DESONERADO",(IF(A4129="SINAPI",VLOOKUP(B4129,#REF!,3,0),IF(A4129="SUDECAP",VLOOKUP(B4129,#REF!,4,0),IF(A4129="SETOP",VLOOKUP(B4129,#REF!,3,0),IF(A4129="COTAÇÃO",VLOOKUP(B4129,'Mapa Cotações'!$A:$N,3,0)))))),(IF(A4129="SINAPI",VLOOKUP(B4129,#REF!,3,0),IF(A4129="SUDECAP",VLOOKUP(B4129,#REF!,4,0),IF(A4129="SETOP",VLOOKUP(B4129,#REF!,3,0),IF(A4129="COTAÇÃO",VLOOKUP(B4129,'Mapa Cotações'!$A:$N,3,0))))))))</f>
        <v>UN</v>
      </c>
      <c r="E4129" s="88">
        <v>1</v>
      </c>
      <c r="F4129" s="89">
        <f>IF(B4129="","",IF($A$8="NÃO DESONERADO",(IF(A4129="SINAPI",VLOOKUP(B4129,#REF!,4,0),IF(A4129="SUDECAP",VLOOKUP(B4129,#REF!,5,0),IF(A4129="SETOP",VLOOKUP(B4129,#REF!,4,0),IF(A4129="COTAÇÃO",VLOOKUP(B4129,'Mapa Cotações'!$A:$N,13,0)))))),(IF(A4129="SINAPI",VLOOKUP(B4129,#REF!,4,0),IF(A4129="SUDECAP",VLOOKUP(B4129,#REF!,5,0),IF(A4129="SETOP",VLOOKUP(B4129,#REF!,4,0),IF(A4129="COTAÇÃO",VLOOKUP(B4129,'Mapa Cotações'!$A:$N,13,0))))))))</f>
        <v>7514.24</v>
      </c>
      <c r="G4129" s="89">
        <f>IF(D4129="","",E4129*F4129)</f>
        <v>7514.24</v>
      </c>
    </row>
    <row r="4130" spans="1:7">
      <c r="A4130" s="87"/>
      <c r="B4130" s="87"/>
      <c r="C4130" s="278" t="str">
        <f>IF(B4130="","",IF($A$8="NÃO DESONERADO",(IF(A4130="SINAPI",VLOOKUP(B4130,#REF!,2,0),IF(A4130="SUDECAP",VLOOKUP(B4130,#REF!,3,0),IF(A4130="SETOP",VLOOKUP(B4130,#REF!,2,0),IF(A4130="COTAÇÃO",VLOOKUP(B4130,'Mapa Cotações'!$A:$N,2,0)))))),(IF(A4130="SINAPI",VLOOKUP(B4130,#REF!,2,0),IF(A4130="SUDECAP",VLOOKUP(B4130,#REF!,3,0),IF(A4130="SETOP",VLOOKUP(B4130,#REF!,2,0),IF(A4130="COTAÇÃO",VLOOKUP(B4130,'Mapa Cotações'!$A:$N,2,0))))))))</f>
        <v/>
      </c>
      <c r="D4130" s="89" t="str">
        <f>IF(B4130="","",IF($A$8="NÃO DESONERADO",(IF(A4130="SINAPI",VLOOKUP(B4130,#REF!,3,0),IF(A4130="SUDECAP",VLOOKUP(B4130,#REF!,4,0),IF(A4130="SETOP",VLOOKUP(B4130,#REF!,3,0),IF(A4130="COTAÇÃO",VLOOKUP(B4130,'Mapa Cotações'!$A:$N,3,0)))))),(IF(A4130="SINAPI",VLOOKUP(B4130,#REF!,3,0),IF(A4130="SUDECAP",VLOOKUP(B4130,#REF!,4,0),IF(A4130="SETOP",VLOOKUP(B4130,#REF!,3,0),IF(A4130="COTAÇÃO",VLOOKUP(B4130,'Mapa Cotações'!$A:$N,3,0))))))))</f>
        <v/>
      </c>
      <c r="E4130" s="88"/>
      <c r="F4130" s="89" t="str">
        <f>IF(B4130="","",IF($A$8="NÃO DESONERADO",(IF(A4130="SINAPI",VLOOKUP(B4130,#REF!,4,0),IF(A4130="SUDECAP",VLOOKUP(B4130,#REF!,5,0),IF(A4130="SETOP",VLOOKUP(B4130,#REF!,4,0),IF(A4130="COTAÇÃO",VLOOKUP(B4130,'Mapa Cotações'!$A:$N,13,0)))))),(IF(A4130="SINAPI",VLOOKUP(B4130,#REF!,4,0),IF(A4130="SUDECAP",VLOOKUP(B4130,#REF!,5,0),IF(A4130="SETOP",VLOOKUP(B4130,#REF!,4,0),IF(A4130="COTAÇÃO",VLOOKUP(B4130,'Mapa Cotações'!$A:$N,13,0))))))))</f>
        <v/>
      </c>
      <c r="G4130" s="89" t="str">
        <f>IF(D4130="","",E4130*F4130)</f>
        <v/>
      </c>
    </row>
    <row r="4131" spans="1:7">
      <c r="A4131" s="832" t="s">
        <v>1908</v>
      </c>
      <c r="B4131" s="833"/>
      <c r="C4131" s="833"/>
      <c r="D4131" s="833"/>
      <c r="E4131" s="833"/>
      <c r="F4131" s="834"/>
      <c r="G4131" s="90">
        <f>IF(F4129="","",(SUM(G4129:G4130)))</f>
        <v>7514.24</v>
      </c>
    </row>
    <row r="4132" spans="1:7">
      <c r="A4132" s="91"/>
      <c r="B4132" s="92"/>
      <c r="C4132" s="161"/>
      <c r="D4132" s="93"/>
      <c r="E4132" s="94"/>
      <c r="F4132" s="95"/>
      <c r="G4132" s="96"/>
    </row>
    <row r="4133" spans="1:7">
      <c r="A4133" s="835" t="s">
        <v>1909</v>
      </c>
      <c r="B4133" s="836"/>
      <c r="C4133" s="836"/>
      <c r="D4133" s="836"/>
      <c r="E4133" s="836"/>
      <c r="F4133" s="836"/>
      <c r="G4133" s="837"/>
    </row>
    <row r="4134" spans="1:7">
      <c r="A4134" s="84" t="s">
        <v>1903</v>
      </c>
      <c r="B4134" s="84" t="s">
        <v>131</v>
      </c>
      <c r="C4134" s="160" t="s">
        <v>1904</v>
      </c>
      <c r="D4134" s="84" t="s">
        <v>167</v>
      </c>
      <c r="E4134" s="85" t="s">
        <v>1905</v>
      </c>
      <c r="F4134" s="86" t="s">
        <v>1906</v>
      </c>
      <c r="G4134" s="86" t="s">
        <v>1907</v>
      </c>
    </row>
    <row r="4135" spans="1:7" ht="24">
      <c r="A4135" s="636" t="s">
        <v>2</v>
      </c>
      <c r="B4135" s="636">
        <v>88243</v>
      </c>
      <c r="C4135" s="661" t="s">
        <v>2100</v>
      </c>
      <c r="D4135" s="638" t="s">
        <v>137</v>
      </c>
      <c r="E4135" s="637">
        <v>1.2</v>
      </c>
      <c r="F4135" s="638">
        <v>24.36</v>
      </c>
      <c r="G4135" s="638">
        <f>IF(D4135="","",E4135*F4135)</f>
        <v>29.231999999999999</v>
      </c>
    </row>
    <row r="4136" spans="1:7" ht="24">
      <c r="A4136" s="636" t="s">
        <v>2</v>
      </c>
      <c r="B4136" s="636">
        <v>100308</v>
      </c>
      <c r="C4136" s="661" t="s">
        <v>1936</v>
      </c>
      <c r="D4136" s="638" t="s">
        <v>137</v>
      </c>
      <c r="E4136" s="637">
        <v>1.2</v>
      </c>
      <c r="F4136" s="638">
        <v>25.97</v>
      </c>
      <c r="G4136" s="638">
        <f>IF(D4136="","",E4136*F4136)</f>
        <v>31.163999999999998</v>
      </c>
    </row>
    <row r="4137" spans="1:7">
      <c r="A4137" s="832" t="s">
        <v>1908</v>
      </c>
      <c r="B4137" s="833"/>
      <c r="C4137" s="833"/>
      <c r="D4137" s="833"/>
      <c r="E4137" s="833"/>
      <c r="F4137" s="834"/>
      <c r="G4137" s="90">
        <f>IF(F4135="","",(SUM(G4135:G4136)))</f>
        <v>60.396000000000001</v>
      </c>
    </row>
    <row r="4138" spans="1:7">
      <c r="A4138" s="91"/>
      <c r="B4138" s="92"/>
      <c r="C4138" s="162"/>
      <c r="D4138" s="92"/>
      <c r="E4138" s="97"/>
      <c r="F4138" s="98"/>
      <c r="G4138" s="96"/>
    </row>
    <row r="4139" spans="1:7">
      <c r="A4139" s="835" t="s">
        <v>1912</v>
      </c>
      <c r="B4139" s="836"/>
      <c r="C4139" s="836"/>
      <c r="D4139" s="836"/>
      <c r="E4139" s="836"/>
      <c r="F4139" s="836"/>
      <c r="G4139" s="837"/>
    </row>
    <row r="4140" spans="1:7">
      <c r="A4140" s="84" t="s">
        <v>1903</v>
      </c>
      <c r="B4140" s="84" t="s">
        <v>131</v>
      </c>
      <c r="C4140" s="160" t="s">
        <v>1904</v>
      </c>
      <c r="D4140" s="84" t="s">
        <v>167</v>
      </c>
      <c r="E4140" s="85" t="s">
        <v>1905</v>
      </c>
      <c r="F4140" s="86" t="s">
        <v>1906</v>
      </c>
      <c r="G4140" s="86" t="s">
        <v>1907</v>
      </c>
    </row>
    <row r="4141" spans="1:7">
      <c r="A4141" s="87"/>
      <c r="B4141" s="87"/>
      <c r="C4141" s="278" t="str">
        <f>IF(B4141="","",IF($A$8="NÃO DESONERADO",(IF(A4141="SINAPI",VLOOKUP(B4141,#REF!,2,0),IF(A4141="SUDECAP",VLOOKUP(B4141,#REF!,3,0),IF(A4141="SETOP",VLOOKUP(B4141,#REF!,2,0),IF(A4141="COTAÇÃO",VLOOKUP(B4141,'Mapa Cotações'!$A:$N,2,0)))))),(IF(A4141="SINAPI",VLOOKUP(B4141,#REF!,2,0),IF(A4141="SUDECAP",VLOOKUP(B4141,#REF!,3,0),IF(A4141="SETOP",VLOOKUP(B4141,#REF!,2,0),IF(A4141="COTAÇÃO",VLOOKUP(B4141,'Mapa Cotações'!$A:$N,2,0))))))))</f>
        <v/>
      </c>
      <c r="D4141" s="89" t="str">
        <f>IF(B4141="","",IF($A$8="NÃO DESONERADO",(IF(A4141="SINAPI",VLOOKUP(B4141,#REF!,3,0),IF(A4141="SUDECAP",VLOOKUP(B4141,#REF!,4,0),IF(A4141="SETOP",VLOOKUP(B4141,#REF!,3,0),IF(A4141="COTAÇÃO",VLOOKUP(B4141,'Mapa Cotações'!$A:$N,3,0)))))),(IF(A4141="SINAPI",VLOOKUP(B4141,#REF!,3,0),IF(A4141="SUDECAP",VLOOKUP(B4141,#REF!,4,0),IF(A4141="SETOP",VLOOKUP(B4141,#REF!,3,0),IF(A4141="COTAÇÃO",VLOOKUP(B4141,'Mapa Cotações'!$A:$N,3,0))))))))</f>
        <v/>
      </c>
      <c r="E4141" s="88"/>
      <c r="F4141" s="89" t="str">
        <f>IF(B4141="","",IF($A$8="NÃO DESONERADO",(IF(A4141="SINAPI",VLOOKUP(B4141,#REF!,4,0),IF(A4141="SUDECAP",VLOOKUP(B4141,#REF!,5,0),IF(A4141="SETOP",VLOOKUP(B4141,#REF!,4,0),IF(A4141="COTAÇÃO",VLOOKUP(B4141,'Mapa Cotações'!$A:$N,13,0)))))),(IF(A4141="SINAPI",VLOOKUP(B4141,#REF!,4,0),IF(A4141="SUDECAP",VLOOKUP(B4141,#REF!,5,0),IF(A4141="SETOP",VLOOKUP(B4141,#REF!,4,0),IF(A4141="COTAÇÃO",VLOOKUP(B4141,'Mapa Cotações'!$A:$N,13,0))))))))</f>
        <v/>
      </c>
      <c r="G4141" s="89" t="str">
        <f>IF(D4141="","",E4141*F4141)</f>
        <v/>
      </c>
    </row>
    <row r="4142" spans="1:7">
      <c r="A4142" s="87"/>
      <c r="B4142" s="87"/>
      <c r="C4142" s="278" t="str">
        <f>IF(B4142="","",IF($A$8="NÃO DESONERADO",(IF(A4142="SINAPI",VLOOKUP(B4142,#REF!,2,0),IF(A4142="SUDECAP",VLOOKUP(B4142,#REF!,3,0),IF(A4142="SETOP",VLOOKUP(B4142,#REF!,2,0),IF(A4142="COTAÇÃO",VLOOKUP(B4142,'Mapa Cotações'!$A:$N,2,0)))))),(IF(A4142="SINAPI",VLOOKUP(B4142,#REF!,2,0),IF(A4142="SUDECAP",VLOOKUP(B4142,#REF!,3,0),IF(A4142="SETOP",VLOOKUP(B4142,#REF!,2,0),IF(A4142="COTAÇÃO",VLOOKUP(B4142,'Mapa Cotações'!$A:$N,2,0))))))))</f>
        <v/>
      </c>
      <c r="D4142" s="89" t="str">
        <f>IF(B4142="","",IF($A$8="NÃO DESONERADO",(IF(A4142="SINAPI",VLOOKUP(B4142,#REF!,3,0),IF(A4142="SUDECAP",VLOOKUP(B4142,#REF!,4,0),IF(A4142="SETOP",VLOOKUP(B4142,#REF!,3,0),IF(A4142="COTAÇÃO",VLOOKUP(B4142,'Mapa Cotações'!$A:$N,3,0)))))),(IF(A4142="SINAPI",VLOOKUP(B4142,#REF!,3,0),IF(A4142="SUDECAP",VLOOKUP(B4142,#REF!,4,0),IF(A4142="SETOP",VLOOKUP(B4142,#REF!,3,0),IF(A4142="COTAÇÃO",VLOOKUP(B4142,'Mapa Cotações'!$A:$N,3,0))))))))</f>
        <v/>
      </c>
      <c r="E4142" s="88"/>
      <c r="F4142" s="89" t="str">
        <f>IF(B4142="","",IF($A$8="NÃO DESONERADO",(IF(A4142="SINAPI",VLOOKUP(B4142,#REF!,4,0),IF(A4142="SUDECAP",VLOOKUP(B4142,#REF!,5,0),IF(A4142="SETOP",VLOOKUP(B4142,#REF!,4,0),IF(A4142="COTAÇÃO",VLOOKUP(B4142,'Mapa Cotações'!$A:$N,13,0)))))),(IF(A4142="SINAPI",VLOOKUP(B4142,#REF!,4,0),IF(A4142="SUDECAP",VLOOKUP(B4142,#REF!,5,0),IF(A4142="SETOP",VLOOKUP(B4142,#REF!,4,0),IF(A4142="COTAÇÃO",VLOOKUP(B4142,'Mapa Cotações'!$A:$N,13,0))))))))</f>
        <v/>
      </c>
      <c r="G4142" s="89" t="str">
        <f>IF(D4142="","",E4142*F4142)</f>
        <v/>
      </c>
    </row>
    <row r="4143" spans="1:7">
      <c r="A4143" s="832" t="s">
        <v>1908</v>
      </c>
      <c r="B4143" s="833" t="s">
        <v>1908</v>
      </c>
      <c r="C4143" s="833"/>
      <c r="D4143" s="833"/>
      <c r="E4143" s="833"/>
      <c r="F4143" s="834"/>
      <c r="G4143" s="90" t="str">
        <f>IF(F4141="","",(SUM(G4141:G4142)))</f>
        <v/>
      </c>
    </row>
    <row r="4144" spans="1:7" ht="13.5" thickBot="1">
      <c r="A4144" s="91"/>
      <c r="B4144" s="92"/>
      <c r="C4144" s="163"/>
      <c r="D4144" s="99"/>
      <c r="E4144" s="100"/>
      <c r="F4144" s="101"/>
      <c r="G4144" s="102"/>
    </row>
    <row r="4145" spans="1:7" ht="13.5" thickBot="1">
      <c r="A4145" s="838" t="s">
        <v>1259</v>
      </c>
      <c r="B4145" s="839"/>
      <c r="C4145" s="839"/>
      <c r="D4145" s="839"/>
      <c r="E4145" s="839"/>
      <c r="F4145" s="840"/>
      <c r="G4145" s="103">
        <f>SUM(G4131,G4137,G4143)</f>
        <v>7574.6359999999995</v>
      </c>
    </row>
    <row r="4147" spans="1:7" hidden="1">
      <c r="A4147" s="660"/>
      <c r="B4147" s="653"/>
      <c r="C4147" s="815"/>
      <c r="D4147" s="815"/>
      <c r="E4147" s="815"/>
      <c r="F4147" s="815"/>
      <c r="G4147" s="632"/>
    </row>
    <row r="4148" spans="1:7" hidden="1">
      <c r="A4148" s="179"/>
      <c r="B4148" s="82"/>
      <c r="C4148" s="816"/>
      <c r="D4148" s="817"/>
      <c r="E4148" s="817"/>
      <c r="F4148" s="186"/>
      <c r="G4148" s="83"/>
    </row>
    <row r="4149" spans="1:7" hidden="1">
      <c r="A4149" s="818"/>
      <c r="B4149" s="819"/>
      <c r="C4149" s="819"/>
      <c r="D4149" s="819"/>
      <c r="E4149" s="819"/>
      <c r="F4149" s="819"/>
      <c r="G4149" s="820"/>
    </row>
    <row r="4150" spans="1:7" hidden="1">
      <c r="A4150" s="633"/>
      <c r="B4150" s="633"/>
      <c r="C4150" s="649"/>
      <c r="D4150" s="633"/>
      <c r="E4150" s="634"/>
      <c r="F4150" s="635"/>
      <c r="G4150" s="635"/>
    </row>
    <row r="4151" spans="1:7" hidden="1">
      <c r="A4151" s="636"/>
      <c r="B4151" s="187"/>
      <c r="C4151" s="662"/>
      <c r="D4151" s="638"/>
      <c r="E4151" s="637"/>
      <c r="F4151" s="638"/>
      <c r="G4151" s="638"/>
    </row>
    <row r="4152" spans="1:7" hidden="1">
      <c r="A4152" s="636"/>
      <c r="B4152" s="636"/>
      <c r="C4152" s="661"/>
      <c r="D4152" s="638"/>
      <c r="E4152" s="637"/>
      <c r="F4152" s="638"/>
      <c r="G4152" s="638"/>
    </row>
    <row r="4153" spans="1:7" hidden="1">
      <c r="A4153" s="821"/>
      <c r="B4153" s="822"/>
      <c r="C4153" s="822"/>
      <c r="D4153" s="822"/>
      <c r="E4153" s="822"/>
      <c r="F4153" s="823"/>
      <c r="G4153" s="613"/>
    </row>
    <row r="4154" spans="1:7" hidden="1">
      <c r="A4154" s="639"/>
      <c r="B4154" s="640"/>
      <c r="C4154" s="161"/>
      <c r="D4154" s="93"/>
      <c r="E4154" s="94"/>
      <c r="F4154" s="95"/>
      <c r="G4154" s="641"/>
    </row>
    <row r="4155" spans="1:7" hidden="1">
      <c r="A4155" s="824"/>
      <c r="B4155" s="825"/>
      <c r="C4155" s="825"/>
      <c r="D4155" s="825"/>
      <c r="E4155" s="825"/>
      <c r="F4155" s="825"/>
      <c r="G4155" s="826"/>
    </row>
    <row r="4156" spans="1:7" hidden="1">
      <c r="A4156" s="633"/>
      <c r="B4156" s="633"/>
      <c r="C4156" s="649"/>
      <c r="D4156" s="633"/>
      <c r="E4156" s="634"/>
      <c r="F4156" s="635"/>
      <c r="G4156" s="635"/>
    </row>
    <row r="4157" spans="1:7" hidden="1">
      <c r="A4157" s="636"/>
      <c r="B4157" s="636"/>
      <c r="C4157" s="661"/>
      <c r="D4157" s="638"/>
      <c r="E4157" s="637"/>
      <c r="F4157" s="638"/>
      <c r="G4157" s="638"/>
    </row>
    <row r="4158" spans="1:7" hidden="1">
      <c r="A4158" s="636"/>
      <c r="B4158" s="636"/>
      <c r="C4158" s="661"/>
      <c r="D4158" s="638"/>
      <c r="E4158" s="637"/>
      <c r="F4158" s="638"/>
      <c r="G4158" s="638"/>
    </row>
    <row r="4159" spans="1:7" hidden="1">
      <c r="A4159" s="821"/>
      <c r="B4159" s="822"/>
      <c r="C4159" s="822"/>
      <c r="D4159" s="822"/>
      <c r="E4159" s="822"/>
      <c r="F4159" s="823"/>
      <c r="G4159" s="613"/>
    </row>
    <row r="4160" spans="1:7" hidden="1">
      <c r="A4160" s="639"/>
      <c r="B4160" s="640"/>
      <c r="C4160" s="650"/>
      <c r="D4160" s="640"/>
      <c r="E4160" s="642"/>
      <c r="F4160" s="643"/>
      <c r="G4160" s="641"/>
    </row>
    <row r="4161" spans="1:11" hidden="1">
      <c r="A4161" s="824"/>
      <c r="B4161" s="825"/>
      <c r="C4161" s="825"/>
      <c r="D4161" s="825"/>
      <c r="E4161" s="825"/>
      <c r="F4161" s="825"/>
      <c r="G4161" s="826"/>
    </row>
    <row r="4162" spans="1:11" hidden="1">
      <c r="A4162" s="633"/>
      <c r="B4162" s="633"/>
      <c r="C4162" s="649"/>
      <c r="D4162" s="633"/>
      <c r="E4162" s="634"/>
      <c r="F4162" s="635"/>
      <c r="G4162" s="635"/>
    </row>
    <row r="4163" spans="1:11" hidden="1">
      <c r="A4163" s="636"/>
      <c r="B4163" s="636"/>
      <c r="C4163" s="661"/>
      <c r="D4163" s="638"/>
      <c r="E4163" s="637"/>
      <c r="F4163" s="638"/>
      <c r="G4163" s="638"/>
    </row>
    <row r="4164" spans="1:11" hidden="1">
      <c r="A4164" s="636"/>
      <c r="B4164" s="636"/>
      <c r="C4164" s="661"/>
      <c r="D4164" s="638"/>
      <c r="E4164" s="637"/>
      <c r="F4164" s="638"/>
      <c r="G4164" s="638"/>
    </row>
    <row r="4165" spans="1:11" hidden="1">
      <c r="A4165" s="821"/>
      <c r="B4165" s="822"/>
      <c r="C4165" s="822"/>
      <c r="D4165" s="822"/>
      <c r="E4165" s="822"/>
      <c r="F4165" s="823"/>
      <c r="G4165" s="613"/>
    </row>
    <row r="4166" spans="1:11" ht="13.5" hidden="1" thickBot="1">
      <c r="A4166" s="639"/>
      <c r="B4166" s="640"/>
      <c r="C4166" s="651"/>
      <c r="D4166" s="644"/>
      <c r="E4166" s="645"/>
      <c r="F4166" s="646"/>
      <c r="G4166" s="647"/>
    </row>
    <row r="4167" spans="1:11" ht="13.5" hidden="1" thickBot="1">
      <c r="A4167" s="827"/>
      <c r="B4167" s="828"/>
      <c r="C4167" s="828"/>
      <c r="D4167" s="828"/>
      <c r="E4167" s="828"/>
      <c r="F4167" s="829"/>
      <c r="G4167" s="103"/>
    </row>
    <row r="4170" spans="1:11">
      <c r="A4170" s="237" t="s">
        <v>131</v>
      </c>
      <c r="B4170" s="190" t="s">
        <v>27</v>
      </c>
      <c r="C4170" s="841" t="s">
        <v>1281</v>
      </c>
      <c r="D4170" s="841"/>
      <c r="E4170" s="841"/>
      <c r="F4170" s="841"/>
      <c r="G4170" s="81" t="s">
        <v>127</v>
      </c>
      <c r="I4170" s="480" t="s">
        <v>1901</v>
      </c>
      <c r="J4170" s="80"/>
      <c r="K4170" s="80"/>
    </row>
    <row r="4171" spans="1:11" ht="39.950000000000003" customHeight="1">
      <c r="A4171" s="179" t="s">
        <v>1134</v>
      </c>
      <c r="B4171" s="82"/>
      <c r="C4171" s="816" t="s">
        <v>3065</v>
      </c>
      <c r="D4171" s="817"/>
      <c r="E4171" s="817"/>
      <c r="F4171" s="186">
        <f>G4190</f>
        <v>8629.17</v>
      </c>
      <c r="G4171" s="83" t="s">
        <v>167</v>
      </c>
      <c r="I4171" s="481"/>
      <c r="J4171" s="272"/>
      <c r="K4171" s="272"/>
    </row>
    <row r="4172" spans="1:11">
      <c r="A4172" s="818" t="s">
        <v>1902</v>
      </c>
      <c r="B4172" s="819"/>
      <c r="C4172" s="819"/>
      <c r="D4172" s="819"/>
      <c r="E4172" s="819"/>
      <c r="F4172" s="819"/>
      <c r="G4172" s="820"/>
    </row>
    <row r="4173" spans="1:11">
      <c r="A4173" s="84" t="s">
        <v>1903</v>
      </c>
      <c r="B4173" s="84" t="s">
        <v>131</v>
      </c>
      <c r="C4173" s="160" t="s">
        <v>1904</v>
      </c>
      <c r="D4173" s="84" t="s">
        <v>167</v>
      </c>
      <c r="E4173" s="85" t="s">
        <v>1905</v>
      </c>
      <c r="F4173" s="86" t="s">
        <v>1906</v>
      </c>
      <c r="G4173" s="86" t="s">
        <v>1907</v>
      </c>
    </row>
    <row r="4174" spans="1:11" ht="35.1" customHeight="1">
      <c r="A4174" s="87" t="s">
        <v>1917</v>
      </c>
      <c r="B4174" s="187" t="s">
        <v>2139</v>
      </c>
      <c r="C4174" s="475" t="str">
        <f>IF(B4174="","",IF($A$8="NÃO DESONERADO",(IF(A4174="SINAPI",VLOOKUP(B4174,#REF!,2,0),IF(A4174="SUDECAP",VLOOKUP(B4174,#REF!,3,0),IF(A4174="SETOP",VLOOKUP(B4174,#REF!,2,0),IF(A4174="COTAÇÃO",VLOOKUP(B4174,'Mapa Cotações'!$A:$N,2,0)))))),(IF(A4174="SINAPI",VLOOKUP(B4174,#REF!,2,0),IF(A4174="SUDECAP",VLOOKUP(B4174,#REF!,3,0),IF(A4174="SETOP",VLOOKUP(B4174,#REF!,2,0),IF(A4174="COTAÇÃO",VLOOKUP(B4174,'Mapa Cotações'!$A:$N,2,0))))))))</f>
        <v xml:space="preserve">ATENUADOR DE RUÍDO COM CARCAÇA E CÉLULAS DE CHAPA GALVANIZADA, COM MATERIAL DE ABSORÇÃO EM LÂ MINERAL REVESTIDO COM TELA DE VIDRO. MODELO KS-200 - ATR-06
VAZÃO DE AR  = 8305 M3/H
PERDA DE CARGA =40 PA
VELOCIDADE NA CÉLULA  = 9,2 M3/H / LW (DB(A)=41 / NÚMERO DE CÉLULAS =4                                                                                                                                                                                                                                                                           LARGURA/ALTURA/COMPRIMENTO = 1300/500/1200 MM / PESO = 84 KG 
FREQUENCIA/ATENUAÇÃO  -    63HZ/3   125/10   250/20  500/20  1000/25  2000/18  4000/13  8000/12   
REF.:BERLINER LUFT OU EQUIVALENTE   </v>
      </c>
      <c r="D4174" s="89" t="str">
        <f>IF(B4174="","",IF($A$8="NÃO DESONERADO",(IF(A4174="SINAPI",VLOOKUP(B4174,#REF!,3,0),IF(A4174="SUDECAP",VLOOKUP(B4174,#REF!,4,0),IF(A4174="SETOP",VLOOKUP(B4174,#REF!,3,0),IF(A4174="COTAÇÃO",VLOOKUP(B4174,'Mapa Cotações'!$A:$N,3,0)))))),(IF(A4174="SINAPI",VLOOKUP(B4174,#REF!,3,0),IF(A4174="SUDECAP",VLOOKUP(B4174,#REF!,4,0),IF(A4174="SETOP",VLOOKUP(B4174,#REF!,3,0),IF(A4174="COTAÇÃO",VLOOKUP(B4174,'Mapa Cotações'!$A:$N,3,0))))))))</f>
        <v>UN</v>
      </c>
      <c r="E4174" s="88">
        <v>1</v>
      </c>
      <c r="F4174" s="89">
        <f>IF(B4174="","",IF($A$8="NÃO DESONERADO",(IF(A4174="SINAPI",VLOOKUP(B4174,#REF!,4,0),IF(A4174="SUDECAP",VLOOKUP(B4174,#REF!,5,0),IF(A4174="SETOP",VLOOKUP(B4174,#REF!,4,0),IF(A4174="COTAÇÃO",VLOOKUP(B4174,'Mapa Cotações'!$A:$N,13,0)))))),(IF(A4174="SINAPI",VLOOKUP(B4174,#REF!,4,0),IF(A4174="SUDECAP",VLOOKUP(B4174,#REF!,5,0),IF(A4174="SETOP",VLOOKUP(B4174,#REF!,4,0),IF(A4174="COTAÇÃO",VLOOKUP(B4174,'Mapa Cotações'!$A:$N,13,0))))))))</f>
        <v>8578.84</v>
      </c>
      <c r="G4174" s="89">
        <f>IF(D4174="","",E4174*F4174)</f>
        <v>8578.84</v>
      </c>
    </row>
    <row r="4175" spans="1:11">
      <c r="A4175" s="87"/>
      <c r="B4175" s="87"/>
      <c r="C4175" s="278" t="str">
        <f>IF(B4175="","",IF($A$8="NÃO DESONERADO",(IF(A4175="SINAPI",VLOOKUP(B4175,#REF!,2,0),IF(A4175="SUDECAP",VLOOKUP(B4175,#REF!,3,0),IF(A4175="SETOP",VLOOKUP(B4175,#REF!,2,0),IF(A4175="COTAÇÃO",VLOOKUP(B4175,'Mapa Cotações'!$A:$N,2,0)))))),(IF(A4175="SINAPI",VLOOKUP(B4175,#REF!,2,0),IF(A4175="SUDECAP",VLOOKUP(B4175,#REF!,3,0),IF(A4175="SETOP",VLOOKUP(B4175,#REF!,2,0),IF(A4175="COTAÇÃO",VLOOKUP(B4175,'Mapa Cotações'!$A:$N,2,0))))))))</f>
        <v/>
      </c>
      <c r="D4175" s="89" t="str">
        <f>IF(B4175="","",IF($A$8="NÃO DESONERADO",(IF(A4175="SINAPI",VLOOKUP(B4175,#REF!,3,0),IF(A4175="SUDECAP",VLOOKUP(B4175,#REF!,4,0),IF(A4175="SETOP",VLOOKUP(B4175,#REF!,3,0),IF(A4175="COTAÇÃO",VLOOKUP(B4175,'Mapa Cotações'!$A:$N,3,0)))))),(IF(A4175="SINAPI",VLOOKUP(B4175,#REF!,3,0),IF(A4175="SUDECAP",VLOOKUP(B4175,#REF!,4,0),IF(A4175="SETOP",VLOOKUP(B4175,#REF!,3,0),IF(A4175="COTAÇÃO",VLOOKUP(B4175,'Mapa Cotações'!$A:$N,3,0))))))))</f>
        <v/>
      </c>
      <c r="E4175" s="88"/>
      <c r="F4175" s="89" t="str">
        <f>IF(B4175="","",IF($A$8="NÃO DESONERADO",(IF(A4175="SINAPI",VLOOKUP(B4175,#REF!,4,0),IF(A4175="SUDECAP",VLOOKUP(B4175,#REF!,5,0),IF(A4175="SETOP",VLOOKUP(B4175,#REF!,4,0),IF(A4175="COTAÇÃO",VLOOKUP(B4175,'Mapa Cotações'!$A:$N,13,0)))))),(IF(A4175="SINAPI",VLOOKUP(B4175,#REF!,4,0),IF(A4175="SUDECAP",VLOOKUP(B4175,#REF!,5,0),IF(A4175="SETOP",VLOOKUP(B4175,#REF!,4,0),IF(A4175="COTAÇÃO",VLOOKUP(B4175,'Mapa Cotações'!$A:$N,13,0))))))))</f>
        <v/>
      </c>
      <c r="G4175" s="89" t="str">
        <f>IF(D4175="","",E4175*F4175)</f>
        <v/>
      </c>
    </row>
    <row r="4176" spans="1:11">
      <c r="A4176" s="832" t="s">
        <v>1908</v>
      </c>
      <c r="B4176" s="833"/>
      <c r="C4176" s="833"/>
      <c r="D4176" s="833"/>
      <c r="E4176" s="833"/>
      <c r="F4176" s="834"/>
      <c r="G4176" s="90">
        <f>IF(F4174="","",(SUM(G4174:G4175)))</f>
        <v>8578.84</v>
      </c>
    </row>
    <row r="4177" spans="1:7">
      <c r="A4177" s="91"/>
      <c r="B4177" s="92"/>
      <c r="C4177" s="161"/>
      <c r="D4177" s="93"/>
      <c r="E4177" s="94"/>
      <c r="F4177" s="95"/>
      <c r="G4177" s="96"/>
    </row>
    <row r="4178" spans="1:7">
      <c r="A4178" s="835" t="s">
        <v>1909</v>
      </c>
      <c r="B4178" s="836"/>
      <c r="C4178" s="836"/>
      <c r="D4178" s="836"/>
      <c r="E4178" s="836"/>
      <c r="F4178" s="836"/>
      <c r="G4178" s="837"/>
    </row>
    <row r="4179" spans="1:7">
      <c r="A4179" s="84" t="s">
        <v>1903</v>
      </c>
      <c r="B4179" s="84" t="s">
        <v>131</v>
      </c>
      <c r="C4179" s="160" t="s">
        <v>1904</v>
      </c>
      <c r="D4179" s="84" t="s">
        <v>167</v>
      </c>
      <c r="E4179" s="85" t="s">
        <v>1905</v>
      </c>
      <c r="F4179" s="86" t="s">
        <v>1906</v>
      </c>
      <c r="G4179" s="86" t="s">
        <v>1907</v>
      </c>
    </row>
    <row r="4180" spans="1:7" ht="24">
      <c r="A4180" s="636" t="s">
        <v>2</v>
      </c>
      <c r="B4180" s="636">
        <v>88243</v>
      </c>
      <c r="C4180" s="661" t="s">
        <v>2100</v>
      </c>
      <c r="D4180" s="638" t="s">
        <v>137</v>
      </c>
      <c r="E4180" s="637">
        <v>1</v>
      </c>
      <c r="F4180" s="638">
        <v>24.36</v>
      </c>
      <c r="G4180" s="638">
        <f>IF(D4180="","",E4180*F4180)</f>
        <v>24.36</v>
      </c>
    </row>
    <row r="4181" spans="1:7" ht="24">
      <c r="A4181" s="636" t="s">
        <v>2</v>
      </c>
      <c r="B4181" s="636">
        <v>100308</v>
      </c>
      <c r="C4181" s="661" t="s">
        <v>1936</v>
      </c>
      <c r="D4181" s="638" t="s">
        <v>137</v>
      </c>
      <c r="E4181" s="637">
        <v>1</v>
      </c>
      <c r="F4181" s="638">
        <v>25.97</v>
      </c>
      <c r="G4181" s="638">
        <f>IF(D4181="","",E4181*F4181)</f>
        <v>25.97</v>
      </c>
    </row>
    <row r="4182" spans="1:7">
      <c r="A4182" s="832" t="s">
        <v>1908</v>
      </c>
      <c r="B4182" s="833"/>
      <c r="C4182" s="833"/>
      <c r="D4182" s="833"/>
      <c r="E4182" s="833"/>
      <c r="F4182" s="834"/>
      <c r="G4182" s="90">
        <f>IF(F4180="","",(SUM(G4180:G4181)))</f>
        <v>50.33</v>
      </c>
    </row>
    <row r="4183" spans="1:7">
      <c r="A4183" s="91"/>
      <c r="B4183" s="92"/>
      <c r="C4183" s="162"/>
      <c r="D4183" s="92"/>
      <c r="E4183" s="97"/>
      <c r="F4183" s="98"/>
      <c r="G4183" s="96"/>
    </row>
    <row r="4184" spans="1:7">
      <c r="A4184" s="835" t="s">
        <v>1912</v>
      </c>
      <c r="B4184" s="836"/>
      <c r="C4184" s="836"/>
      <c r="D4184" s="836"/>
      <c r="E4184" s="836"/>
      <c r="F4184" s="836"/>
      <c r="G4184" s="837"/>
    </row>
    <row r="4185" spans="1:7">
      <c r="A4185" s="84" t="s">
        <v>1903</v>
      </c>
      <c r="B4185" s="84" t="s">
        <v>131</v>
      </c>
      <c r="C4185" s="160" t="s">
        <v>1904</v>
      </c>
      <c r="D4185" s="84" t="s">
        <v>167</v>
      </c>
      <c r="E4185" s="85" t="s">
        <v>1905</v>
      </c>
      <c r="F4185" s="86" t="s">
        <v>1906</v>
      </c>
      <c r="G4185" s="86" t="s">
        <v>1907</v>
      </c>
    </row>
    <row r="4186" spans="1:7">
      <c r="A4186" s="87"/>
      <c r="B4186" s="87"/>
      <c r="C4186" s="278" t="str">
        <f>IF(B4186="","",IF($A$8="NÃO DESONERADO",(IF(A4186="SINAPI",VLOOKUP(B4186,#REF!,2,0),IF(A4186="SUDECAP",VLOOKUP(B4186,#REF!,3,0),IF(A4186="SETOP",VLOOKUP(B4186,#REF!,2,0),IF(A4186="COTAÇÃO",VLOOKUP(B4186,'Mapa Cotações'!$A:$N,2,0)))))),(IF(A4186="SINAPI",VLOOKUP(B4186,#REF!,2,0),IF(A4186="SUDECAP",VLOOKUP(B4186,#REF!,3,0),IF(A4186="SETOP",VLOOKUP(B4186,#REF!,2,0),IF(A4186="COTAÇÃO",VLOOKUP(B4186,'Mapa Cotações'!$A:$N,2,0))))))))</f>
        <v/>
      </c>
      <c r="D4186" s="89" t="str">
        <f>IF(B4186="","",IF($A$8="NÃO DESONERADO",(IF(A4186="SINAPI",VLOOKUP(B4186,#REF!,3,0),IF(A4186="SUDECAP",VLOOKUP(B4186,#REF!,4,0),IF(A4186="SETOP",VLOOKUP(B4186,#REF!,3,0),IF(A4186="COTAÇÃO",VLOOKUP(B4186,'Mapa Cotações'!$A:$N,3,0)))))),(IF(A4186="SINAPI",VLOOKUP(B4186,#REF!,3,0),IF(A4186="SUDECAP",VLOOKUP(B4186,#REF!,4,0),IF(A4186="SETOP",VLOOKUP(B4186,#REF!,3,0),IF(A4186="COTAÇÃO",VLOOKUP(B4186,'Mapa Cotações'!$A:$N,3,0))))))))</f>
        <v/>
      </c>
      <c r="E4186" s="88"/>
      <c r="F4186" s="89" t="str">
        <f>IF(B4186="","",IF($A$8="NÃO DESONERADO",(IF(A4186="SINAPI",VLOOKUP(B4186,#REF!,4,0),IF(A4186="SUDECAP",VLOOKUP(B4186,#REF!,5,0),IF(A4186="SETOP",VLOOKUP(B4186,#REF!,4,0),IF(A4186="COTAÇÃO",VLOOKUP(B4186,'Mapa Cotações'!$A:$N,13,0)))))),(IF(A4186="SINAPI",VLOOKUP(B4186,#REF!,4,0),IF(A4186="SUDECAP",VLOOKUP(B4186,#REF!,5,0),IF(A4186="SETOP",VLOOKUP(B4186,#REF!,4,0),IF(A4186="COTAÇÃO",VLOOKUP(B4186,'Mapa Cotações'!$A:$N,13,0))))))))</f>
        <v/>
      </c>
      <c r="G4186" s="89" t="str">
        <f>IF(D4186="","",E4186*F4186)</f>
        <v/>
      </c>
    </row>
    <row r="4187" spans="1:7">
      <c r="A4187" s="87"/>
      <c r="B4187" s="87"/>
      <c r="C4187" s="278" t="str">
        <f>IF(B4187="","",IF($A$8="NÃO DESONERADO",(IF(A4187="SINAPI",VLOOKUP(B4187,#REF!,2,0),IF(A4187="SUDECAP",VLOOKUP(B4187,#REF!,3,0),IF(A4187="SETOP",VLOOKUP(B4187,#REF!,2,0),IF(A4187="COTAÇÃO",VLOOKUP(B4187,'Mapa Cotações'!$A:$N,2,0)))))),(IF(A4187="SINAPI",VLOOKUP(B4187,#REF!,2,0),IF(A4187="SUDECAP",VLOOKUP(B4187,#REF!,3,0),IF(A4187="SETOP",VLOOKUP(B4187,#REF!,2,0),IF(A4187="COTAÇÃO",VLOOKUP(B4187,'Mapa Cotações'!$A:$N,2,0))))))))</f>
        <v/>
      </c>
      <c r="D4187" s="89" t="str">
        <f>IF(B4187="","",IF($A$8="NÃO DESONERADO",(IF(A4187="SINAPI",VLOOKUP(B4187,#REF!,3,0),IF(A4187="SUDECAP",VLOOKUP(B4187,#REF!,4,0),IF(A4187="SETOP",VLOOKUP(B4187,#REF!,3,0),IF(A4187="COTAÇÃO",VLOOKUP(B4187,'Mapa Cotações'!$A:$N,3,0)))))),(IF(A4187="SINAPI",VLOOKUP(B4187,#REF!,3,0),IF(A4187="SUDECAP",VLOOKUP(B4187,#REF!,4,0),IF(A4187="SETOP",VLOOKUP(B4187,#REF!,3,0),IF(A4187="COTAÇÃO",VLOOKUP(B4187,'Mapa Cotações'!$A:$N,3,0))))))))</f>
        <v/>
      </c>
      <c r="E4187" s="88"/>
      <c r="F4187" s="89" t="str">
        <f>IF(B4187="","",IF($A$8="NÃO DESONERADO",(IF(A4187="SINAPI",VLOOKUP(B4187,#REF!,4,0),IF(A4187="SUDECAP",VLOOKUP(B4187,#REF!,5,0),IF(A4187="SETOP",VLOOKUP(B4187,#REF!,4,0),IF(A4187="COTAÇÃO",VLOOKUP(B4187,'Mapa Cotações'!$A:$N,13,0)))))),(IF(A4187="SINAPI",VLOOKUP(B4187,#REF!,4,0),IF(A4187="SUDECAP",VLOOKUP(B4187,#REF!,5,0),IF(A4187="SETOP",VLOOKUP(B4187,#REF!,4,0),IF(A4187="COTAÇÃO",VLOOKUP(B4187,'Mapa Cotações'!$A:$N,13,0))))))))</f>
        <v/>
      </c>
      <c r="G4187" s="89" t="str">
        <f>IF(D4187="","",E4187*F4187)</f>
        <v/>
      </c>
    </row>
    <row r="4188" spans="1:7">
      <c r="A4188" s="832" t="s">
        <v>1908</v>
      </c>
      <c r="B4188" s="833" t="s">
        <v>1908</v>
      </c>
      <c r="C4188" s="833"/>
      <c r="D4188" s="833"/>
      <c r="E4188" s="833"/>
      <c r="F4188" s="834"/>
      <c r="G4188" s="90" t="str">
        <f>IF(F4186="","",(SUM(G4186:G4187)))</f>
        <v/>
      </c>
    </row>
    <row r="4189" spans="1:7" ht="13.5" thickBot="1">
      <c r="A4189" s="91"/>
      <c r="B4189" s="92"/>
      <c r="C4189" s="163"/>
      <c r="D4189" s="99"/>
      <c r="E4189" s="100"/>
      <c r="F4189" s="101"/>
      <c r="G4189" s="102"/>
    </row>
    <row r="4190" spans="1:7" ht="13.5" thickBot="1">
      <c r="A4190" s="838" t="s">
        <v>1259</v>
      </c>
      <c r="B4190" s="839"/>
      <c r="C4190" s="839"/>
      <c r="D4190" s="839"/>
      <c r="E4190" s="839"/>
      <c r="F4190" s="840"/>
      <c r="G4190" s="103">
        <f>SUM(G4176,G4182,G4188)</f>
        <v>8629.17</v>
      </c>
    </row>
    <row r="4192" spans="1:7" hidden="1">
      <c r="A4192" s="660"/>
      <c r="B4192" s="653"/>
      <c r="C4192" s="815"/>
      <c r="D4192" s="815"/>
      <c r="E4192" s="815"/>
      <c r="F4192" s="815"/>
      <c r="G4192" s="632"/>
    </row>
    <row r="4193" spans="1:7" hidden="1">
      <c r="A4193" s="179"/>
      <c r="B4193" s="82"/>
      <c r="C4193" s="816"/>
      <c r="D4193" s="817"/>
      <c r="E4193" s="817"/>
      <c r="F4193" s="186"/>
      <c r="G4193" s="83"/>
    </row>
    <row r="4194" spans="1:7" hidden="1">
      <c r="A4194" s="818"/>
      <c r="B4194" s="819"/>
      <c r="C4194" s="819"/>
      <c r="D4194" s="819"/>
      <c r="E4194" s="819"/>
      <c r="F4194" s="819"/>
      <c r="G4194" s="820"/>
    </row>
    <row r="4195" spans="1:7" hidden="1">
      <c r="A4195" s="633"/>
      <c r="B4195" s="633"/>
      <c r="C4195" s="649"/>
      <c r="D4195" s="633"/>
      <c r="E4195" s="634"/>
      <c r="F4195" s="635"/>
      <c r="G4195" s="635"/>
    </row>
    <row r="4196" spans="1:7" hidden="1">
      <c r="A4196" s="636"/>
      <c r="B4196" s="187"/>
      <c r="C4196" s="662"/>
      <c r="D4196" s="638"/>
      <c r="E4196" s="637"/>
      <c r="F4196" s="638"/>
      <c r="G4196" s="638"/>
    </row>
    <row r="4197" spans="1:7" hidden="1">
      <c r="A4197" s="636"/>
      <c r="B4197" s="636"/>
      <c r="C4197" s="661"/>
      <c r="D4197" s="638"/>
      <c r="E4197" s="637"/>
      <c r="F4197" s="638"/>
      <c r="G4197" s="638"/>
    </row>
    <row r="4198" spans="1:7" hidden="1">
      <c r="A4198" s="821"/>
      <c r="B4198" s="822"/>
      <c r="C4198" s="822"/>
      <c r="D4198" s="822"/>
      <c r="E4198" s="822"/>
      <c r="F4198" s="823"/>
      <c r="G4198" s="613"/>
    </row>
    <row r="4199" spans="1:7" hidden="1">
      <c r="A4199" s="639"/>
      <c r="B4199" s="640"/>
      <c r="C4199" s="161"/>
      <c r="D4199" s="93"/>
      <c r="E4199" s="94"/>
      <c r="F4199" s="95"/>
      <c r="G4199" s="641"/>
    </row>
    <row r="4200" spans="1:7" hidden="1">
      <c r="A4200" s="824"/>
      <c r="B4200" s="825"/>
      <c r="C4200" s="825"/>
      <c r="D4200" s="825"/>
      <c r="E4200" s="825"/>
      <c r="F4200" s="825"/>
      <c r="G4200" s="826"/>
    </row>
    <row r="4201" spans="1:7" hidden="1">
      <c r="A4201" s="633"/>
      <c r="B4201" s="633"/>
      <c r="C4201" s="649"/>
      <c r="D4201" s="633"/>
      <c r="E4201" s="634"/>
      <c r="F4201" s="635"/>
      <c r="G4201" s="635"/>
    </row>
    <row r="4202" spans="1:7" hidden="1">
      <c r="A4202" s="636"/>
      <c r="B4202" s="636"/>
      <c r="C4202" s="661"/>
      <c r="D4202" s="638"/>
      <c r="E4202" s="637"/>
      <c r="F4202" s="638"/>
      <c r="G4202" s="638"/>
    </row>
    <row r="4203" spans="1:7" hidden="1">
      <c r="A4203" s="636"/>
      <c r="B4203" s="636"/>
      <c r="C4203" s="661"/>
      <c r="D4203" s="638"/>
      <c r="E4203" s="637"/>
      <c r="F4203" s="638"/>
      <c r="G4203" s="638"/>
    </row>
    <row r="4204" spans="1:7" hidden="1">
      <c r="A4204" s="821"/>
      <c r="B4204" s="822"/>
      <c r="C4204" s="822"/>
      <c r="D4204" s="822"/>
      <c r="E4204" s="822"/>
      <c r="F4204" s="823"/>
      <c r="G4204" s="613"/>
    </row>
    <row r="4205" spans="1:7" hidden="1">
      <c r="A4205" s="639"/>
      <c r="B4205" s="640"/>
      <c r="C4205" s="650"/>
      <c r="D4205" s="640"/>
      <c r="E4205" s="642"/>
      <c r="F4205" s="643"/>
      <c r="G4205" s="641"/>
    </row>
    <row r="4206" spans="1:7" hidden="1">
      <c r="A4206" s="824"/>
      <c r="B4206" s="825"/>
      <c r="C4206" s="825"/>
      <c r="D4206" s="825"/>
      <c r="E4206" s="825"/>
      <c r="F4206" s="825"/>
      <c r="G4206" s="826"/>
    </row>
    <row r="4207" spans="1:7" hidden="1">
      <c r="A4207" s="633"/>
      <c r="B4207" s="633"/>
      <c r="C4207" s="649"/>
      <c r="D4207" s="633"/>
      <c r="E4207" s="634"/>
      <c r="F4207" s="635"/>
      <c r="G4207" s="635"/>
    </row>
    <row r="4208" spans="1:7" hidden="1">
      <c r="A4208" s="636"/>
      <c r="B4208" s="636"/>
      <c r="C4208" s="661"/>
      <c r="D4208" s="638"/>
      <c r="E4208" s="637"/>
      <c r="F4208" s="638"/>
      <c r="G4208" s="638"/>
    </row>
    <row r="4209" spans="1:11" hidden="1">
      <c r="A4209" s="636"/>
      <c r="B4209" s="636"/>
      <c r="C4209" s="661"/>
      <c r="D4209" s="638"/>
      <c r="E4209" s="637"/>
      <c r="F4209" s="638"/>
      <c r="G4209" s="638"/>
    </row>
    <row r="4210" spans="1:11" hidden="1">
      <c r="A4210" s="821"/>
      <c r="B4210" s="822"/>
      <c r="C4210" s="822"/>
      <c r="D4210" s="822"/>
      <c r="E4210" s="822"/>
      <c r="F4210" s="823"/>
      <c r="G4210" s="613"/>
    </row>
    <row r="4211" spans="1:11" ht="13.5" hidden="1" thickBot="1">
      <c r="A4211" s="639"/>
      <c r="B4211" s="640"/>
      <c r="C4211" s="651"/>
      <c r="D4211" s="644"/>
      <c r="E4211" s="645"/>
      <c r="F4211" s="646"/>
      <c r="G4211" s="647"/>
    </row>
    <row r="4212" spans="1:11" ht="13.5" hidden="1" thickBot="1">
      <c r="A4212" s="827"/>
      <c r="B4212" s="828"/>
      <c r="C4212" s="828"/>
      <c r="D4212" s="828"/>
      <c r="E4212" s="828"/>
      <c r="F4212" s="829"/>
      <c r="G4212" s="103"/>
    </row>
    <row r="4215" spans="1:11">
      <c r="A4215" s="237" t="s">
        <v>131</v>
      </c>
      <c r="B4215" s="190" t="s">
        <v>27</v>
      </c>
      <c r="C4215" s="841" t="s">
        <v>1281</v>
      </c>
      <c r="D4215" s="841"/>
      <c r="E4215" s="841"/>
      <c r="F4215" s="841"/>
      <c r="G4215" s="81" t="s">
        <v>127</v>
      </c>
      <c r="I4215" s="480" t="s">
        <v>1901</v>
      </c>
      <c r="J4215" s="80"/>
      <c r="K4215" s="80"/>
    </row>
    <row r="4216" spans="1:11" ht="39.950000000000003" customHeight="1">
      <c r="A4216" s="179" t="s">
        <v>1137</v>
      </c>
      <c r="B4216" s="82"/>
      <c r="C4216" s="816" t="s">
        <v>3066</v>
      </c>
      <c r="D4216" s="817"/>
      <c r="E4216" s="817"/>
      <c r="F4216" s="186">
        <f>G4235</f>
        <v>7031.14</v>
      </c>
      <c r="G4216" s="83" t="s">
        <v>167</v>
      </c>
      <c r="I4216" s="481"/>
      <c r="J4216" s="272"/>
      <c r="K4216" s="272"/>
    </row>
    <row r="4217" spans="1:11">
      <c r="A4217" s="818" t="s">
        <v>1902</v>
      </c>
      <c r="B4217" s="819"/>
      <c r="C4217" s="819"/>
      <c r="D4217" s="819"/>
      <c r="E4217" s="819"/>
      <c r="F4217" s="819"/>
      <c r="G4217" s="820"/>
    </row>
    <row r="4218" spans="1:11">
      <c r="A4218" s="84" t="s">
        <v>1903</v>
      </c>
      <c r="B4218" s="84" t="s">
        <v>131</v>
      </c>
      <c r="C4218" s="160" t="s">
        <v>1904</v>
      </c>
      <c r="D4218" s="84" t="s">
        <v>167</v>
      </c>
      <c r="E4218" s="85" t="s">
        <v>1905</v>
      </c>
      <c r="F4218" s="86" t="s">
        <v>1906</v>
      </c>
      <c r="G4218" s="86" t="s">
        <v>1907</v>
      </c>
    </row>
    <row r="4219" spans="1:11" ht="35.1" customHeight="1">
      <c r="A4219" s="87" t="s">
        <v>1917</v>
      </c>
      <c r="B4219" s="187" t="s">
        <v>2141</v>
      </c>
      <c r="C4219" s="475" t="str">
        <f>IF(B4219="","",IF($A$8="NÃO DESONERADO",(IF(A4219="SINAPI",VLOOKUP(B4219,#REF!,2,0),IF(A4219="SUDECAP",VLOOKUP(B4219,#REF!,3,0),IF(A4219="SETOP",VLOOKUP(B4219,#REF!,2,0),IF(A4219="COTAÇÃO",VLOOKUP(B4219,'Mapa Cotações'!$A:$N,2,0)))))),(IF(A4219="SINAPI",VLOOKUP(B4219,#REF!,2,0),IF(A4219="SUDECAP",VLOOKUP(B4219,#REF!,3,0),IF(A4219="SETOP",VLOOKUP(B4219,#REF!,2,0),IF(A4219="COTAÇÃO",VLOOKUP(B4219,'Mapa Cotações'!$A:$N,2,0))))))))</f>
        <v xml:space="preserve">ATENUADOR DE RUÍDO COM CARCAÇA E CÉLULAS DE CHAPA GALVANIZADA, COM MATERIAL DE ABSORÇÃO EM LÂ MINERAL REVESTIDO COM TELA DE VIDRO. MODELO KS-200 - ATR-07
VAZÃO DE AR  = 6200 M3/H
PERDA DE CARGA =34 PA
VELOCIDADE NA CÉLULA  = 8,6 M3/H  / LW (DB(A)=38 / NÚMERO DE CÉLULAS =3                                                                                                                                                                                                                                                                           LARGURA/ALTURA/COMPRIMENTO = 1000/500/1200 MM / PESO = 66 KG
FREQUENCIA/ATENUAÇÃO  -    63HZ/3   125/10   250/19  500/19  1000/23  2000/17  4000/12  8000/11   
REF.:BERLINER LUFT OU EQUIVALENTE      </v>
      </c>
      <c r="D4219" s="89" t="str">
        <f>IF(B4219="","",IF($A$8="NÃO DESONERADO",(IF(A4219="SINAPI",VLOOKUP(B4219,#REF!,3,0),IF(A4219="SUDECAP",VLOOKUP(B4219,#REF!,4,0),IF(A4219="SETOP",VLOOKUP(B4219,#REF!,3,0),IF(A4219="COTAÇÃO",VLOOKUP(B4219,'Mapa Cotações'!$A:$N,3,0)))))),(IF(A4219="SINAPI",VLOOKUP(B4219,#REF!,3,0),IF(A4219="SUDECAP",VLOOKUP(B4219,#REF!,4,0),IF(A4219="SETOP",VLOOKUP(B4219,#REF!,3,0),IF(A4219="COTAÇÃO",VLOOKUP(B4219,'Mapa Cotações'!$A:$N,3,0))))))))</f>
        <v>UN</v>
      </c>
      <c r="E4219" s="88">
        <v>1</v>
      </c>
      <c r="F4219" s="89">
        <f>IF(B4219="","",IF($A$8="NÃO DESONERADO",(IF(A4219="SINAPI",VLOOKUP(B4219,#REF!,4,0),IF(A4219="SUDECAP",VLOOKUP(B4219,#REF!,5,0),IF(A4219="SETOP",VLOOKUP(B4219,#REF!,4,0),IF(A4219="COTAÇÃO",VLOOKUP(B4219,'Mapa Cotações'!$A:$N,13,0)))))),(IF(A4219="SINAPI",VLOOKUP(B4219,#REF!,4,0),IF(A4219="SUDECAP",VLOOKUP(B4219,#REF!,5,0),IF(A4219="SETOP",VLOOKUP(B4219,#REF!,4,0),IF(A4219="COTAÇÃO",VLOOKUP(B4219,'Mapa Cotações'!$A:$N,13,0))))))))</f>
        <v>6980.81</v>
      </c>
      <c r="G4219" s="89">
        <f>IF(D4219="","",E4219*F4219)</f>
        <v>6980.81</v>
      </c>
    </row>
    <row r="4220" spans="1:11">
      <c r="A4220" s="87"/>
      <c r="B4220" s="87"/>
      <c r="C4220" s="278" t="str">
        <f>IF(B4220="","",IF($A$8="NÃO DESONERADO",(IF(A4220="SINAPI",VLOOKUP(B4220,#REF!,2,0),IF(A4220="SUDECAP",VLOOKUP(B4220,#REF!,3,0),IF(A4220="SETOP",VLOOKUP(B4220,#REF!,2,0),IF(A4220="COTAÇÃO",VLOOKUP(B4220,'Mapa Cotações'!$A:$N,2,0)))))),(IF(A4220="SINAPI",VLOOKUP(B4220,#REF!,2,0),IF(A4220="SUDECAP",VLOOKUP(B4220,#REF!,3,0),IF(A4220="SETOP",VLOOKUP(B4220,#REF!,2,0),IF(A4220="COTAÇÃO",VLOOKUP(B4220,'Mapa Cotações'!$A:$N,2,0))))))))</f>
        <v/>
      </c>
      <c r="D4220" s="89" t="str">
        <f>IF(B4220="","",IF($A$8="NÃO DESONERADO",(IF(A4220="SINAPI",VLOOKUP(B4220,#REF!,3,0),IF(A4220="SUDECAP",VLOOKUP(B4220,#REF!,4,0),IF(A4220="SETOP",VLOOKUP(B4220,#REF!,3,0),IF(A4220="COTAÇÃO",VLOOKUP(B4220,'Mapa Cotações'!$A:$N,3,0)))))),(IF(A4220="SINAPI",VLOOKUP(B4220,#REF!,3,0),IF(A4220="SUDECAP",VLOOKUP(B4220,#REF!,4,0),IF(A4220="SETOP",VLOOKUP(B4220,#REF!,3,0),IF(A4220="COTAÇÃO",VLOOKUP(B4220,'Mapa Cotações'!$A:$N,3,0))))))))</f>
        <v/>
      </c>
      <c r="E4220" s="88"/>
      <c r="F4220" s="89" t="str">
        <f>IF(B4220="","",IF($A$8="NÃO DESONERADO",(IF(A4220="SINAPI",VLOOKUP(B4220,#REF!,4,0),IF(A4220="SUDECAP",VLOOKUP(B4220,#REF!,5,0),IF(A4220="SETOP",VLOOKUP(B4220,#REF!,4,0),IF(A4220="COTAÇÃO",VLOOKUP(B4220,'Mapa Cotações'!$A:$N,13,0)))))),(IF(A4220="SINAPI",VLOOKUP(B4220,#REF!,4,0),IF(A4220="SUDECAP",VLOOKUP(B4220,#REF!,5,0),IF(A4220="SETOP",VLOOKUP(B4220,#REF!,4,0),IF(A4220="COTAÇÃO",VLOOKUP(B4220,'Mapa Cotações'!$A:$N,13,0))))))))</f>
        <v/>
      </c>
      <c r="G4220" s="89" t="str">
        <f>IF(D4220="","",E4220*F4220)</f>
        <v/>
      </c>
    </row>
    <row r="4221" spans="1:11">
      <c r="A4221" s="832" t="s">
        <v>1908</v>
      </c>
      <c r="B4221" s="833"/>
      <c r="C4221" s="833"/>
      <c r="D4221" s="833"/>
      <c r="E4221" s="833"/>
      <c r="F4221" s="834"/>
      <c r="G4221" s="90">
        <f>IF(F4219="","",(SUM(G4219:G4220)))</f>
        <v>6980.81</v>
      </c>
    </row>
    <row r="4222" spans="1:11">
      <c r="A4222" s="91"/>
      <c r="B4222" s="92"/>
      <c r="C4222" s="161"/>
      <c r="D4222" s="93"/>
      <c r="E4222" s="94"/>
      <c r="F4222" s="95"/>
      <c r="G4222" s="96"/>
    </row>
    <row r="4223" spans="1:11">
      <c r="A4223" s="835" t="s">
        <v>1909</v>
      </c>
      <c r="B4223" s="836"/>
      <c r="C4223" s="836"/>
      <c r="D4223" s="836"/>
      <c r="E4223" s="836"/>
      <c r="F4223" s="836"/>
      <c r="G4223" s="837"/>
    </row>
    <row r="4224" spans="1:11">
      <c r="A4224" s="84" t="s">
        <v>1903</v>
      </c>
      <c r="B4224" s="84" t="s">
        <v>131</v>
      </c>
      <c r="C4224" s="160" t="s">
        <v>1904</v>
      </c>
      <c r="D4224" s="84" t="s">
        <v>167</v>
      </c>
      <c r="E4224" s="85" t="s">
        <v>1905</v>
      </c>
      <c r="F4224" s="86" t="s">
        <v>1906</v>
      </c>
      <c r="G4224" s="86" t="s">
        <v>1907</v>
      </c>
    </row>
    <row r="4225" spans="1:7" ht="24">
      <c r="A4225" s="636" t="s">
        <v>2</v>
      </c>
      <c r="B4225" s="636">
        <v>88243</v>
      </c>
      <c r="C4225" s="661" t="s">
        <v>2100</v>
      </c>
      <c r="D4225" s="638" t="s">
        <v>137</v>
      </c>
      <c r="E4225" s="637">
        <v>1</v>
      </c>
      <c r="F4225" s="638">
        <v>24.36</v>
      </c>
      <c r="G4225" s="638">
        <f>IF(D4225="","",E4225*F4225)</f>
        <v>24.36</v>
      </c>
    </row>
    <row r="4226" spans="1:7" ht="24">
      <c r="A4226" s="636" t="s">
        <v>2</v>
      </c>
      <c r="B4226" s="636">
        <v>100308</v>
      </c>
      <c r="C4226" s="661" t="s">
        <v>1936</v>
      </c>
      <c r="D4226" s="638" t="s">
        <v>137</v>
      </c>
      <c r="E4226" s="637">
        <v>1</v>
      </c>
      <c r="F4226" s="638">
        <v>25.97</v>
      </c>
      <c r="G4226" s="638">
        <f>IF(D4226="","",E4226*F4226)</f>
        <v>25.97</v>
      </c>
    </row>
    <row r="4227" spans="1:7">
      <c r="A4227" s="832" t="s">
        <v>1908</v>
      </c>
      <c r="B4227" s="833"/>
      <c r="C4227" s="833"/>
      <c r="D4227" s="833"/>
      <c r="E4227" s="833"/>
      <c r="F4227" s="834"/>
      <c r="G4227" s="90">
        <f>IF(F4225="","",(SUM(G4225:G4226)))</f>
        <v>50.33</v>
      </c>
    </row>
    <row r="4228" spans="1:7">
      <c r="A4228" s="91"/>
      <c r="B4228" s="92"/>
      <c r="C4228" s="162"/>
      <c r="D4228" s="92"/>
      <c r="E4228" s="97"/>
      <c r="F4228" s="98"/>
      <c r="G4228" s="96"/>
    </row>
    <row r="4229" spans="1:7">
      <c r="A4229" s="835" t="s">
        <v>1912</v>
      </c>
      <c r="B4229" s="836"/>
      <c r="C4229" s="836"/>
      <c r="D4229" s="836"/>
      <c r="E4229" s="836"/>
      <c r="F4229" s="836"/>
      <c r="G4229" s="837"/>
    </row>
    <row r="4230" spans="1:7">
      <c r="A4230" s="84" t="s">
        <v>1903</v>
      </c>
      <c r="B4230" s="84" t="s">
        <v>131</v>
      </c>
      <c r="C4230" s="160" t="s">
        <v>1904</v>
      </c>
      <c r="D4230" s="84" t="s">
        <v>167</v>
      </c>
      <c r="E4230" s="85" t="s">
        <v>1905</v>
      </c>
      <c r="F4230" s="86" t="s">
        <v>1906</v>
      </c>
      <c r="G4230" s="86" t="s">
        <v>1907</v>
      </c>
    </row>
    <row r="4231" spans="1:7">
      <c r="A4231" s="87"/>
      <c r="B4231" s="87"/>
      <c r="C4231" s="278" t="str">
        <f>IF(B4231="","",IF($A$8="NÃO DESONERADO",(IF(A4231="SINAPI",VLOOKUP(B4231,#REF!,2,0),IF(A4231="SUDECAP",VLOOKUP(B4231,#REF!,3,0),IF(A4231="SETOP",VLOOKUP(B4231,#REF!,2,0),IF(A4231="COTAÇÃO",VLOOKUP(B4231,'Mapa Cotações'!$A:$N,2,0)))))),(IF(A4231="SINAPI",VLOOKUP(B4231,#REF!,2,0),IF(A4231="SUDECAP",VLOOKUP(B4231,#REF!,3,0),IF(A4231="SETOP",VLOOKUP(B4231,#REF!,2,0),IF(A4231="COTAÇÃO",VLOOKUP(B4231,'Mapa Cotações'!$A:$N,2,0))))))))</f>
        <v/>
      </c>
      <c r="D4231" s="89" t="str">
        <f>IF(B4231="","",IF($A$8="NÃO DESONERADO",(IF(A4231="SINAPI",VLOOKUP(B4231,#REF!,3,0),IF(A4231="SUDECAP",VLOOKUP(B4231,#REF!,4,0),IF(A4231="SETOP",VLOOKUP(B4231,#REF!,3,0),IF(A4231="COTAÇÃO",VLOOKUP(B4231,'Mapa Cotações'!$A:$N,3,0)))))),(IF(A4231="SINAPI",VLOOKUP(B4231,#REF!,3,0),IF(A4231="SUDECAP",VLOOKUP(B4231,#REF!,4,0),IF(A4231="SETOP",VLOOKUP(B4231,#REF!,3,0),IF(A4231="COTAÇÃO",VLOOKUP(B4231,'Mapa Cotações'!$A:$N,3,0))))))))</f>
        <v/>
      </c>
      <c r="E4231" s="88"/>
      <c r="F4231" s="89" t="str">
        <f>IF(B4231="","",IF($A$8="NÃO DESONERADO",(IF(A4231="SINAPI",VLOOKUP(B4231,#REF!,4,0),IF(A4231="SUDECAP",VLOOKUP(B4231,#REF!,5,0),IF(A4231="SETOP",VLOOKUP(B4231,#REF!,4,0),IF(A4231="COTAÇÃO",VLOOKUP(B4231,'Mapa Cotações'!$A:$N,13,0)))))),(IF(A4231="SINAPI",VLOOKUP(B4231,#REF!,4,0),IF(A4231="SUDECAP",VLOOKUP(B4231,#REF!,5,0),IF(A4231="SETOP",VLOOKUP(B4231,#REF!,4,0),IF(A4231="COTAÇÃO",VLOOKUP(B4231,'Mapa Cotações'!$A:$N,13,0))))))))</f>
        <v/>
      </c>
      <c r="G4231" s="89" t="str">
        <f>IF(D4231="","",E4231*F4231)</f>
        <v/>
      </c>
    </row>
    <row r="4232" spans="1:7">
      <c r="A4232" s="87"/>
      <c r="B4232" s="87"/>
      <c r="C4232" s="278" t="str">
        <f>IF(B4232="","",IF($A$8="NÃO DESONERADO",(IF(A4232="SINAPI",VLOOKUP(B4232,#REF!,2,0),IF(A4232="SUDECAP",VLOOKUP(B4232,#REF!,3,0),IF(A4232="SETOP",VLOOKUP(B4232,#REF!,2,0),IF(A4232="COTAÇÃO",VLOOKUP(B4232,'Mapa Cotações'!$A:$N,2,0)))))),(IF(A4232="SINAPI",VLOOKUP(B4232,#REF!,2,0),IF(A4232="SUDECAP",VLOOKUP(B4232,#REF!,3,0),IF(A4232="SETOP",VLOOKUP(B4232,#REF!,2,0),IF(A4232="COTAÇÃO",VLOOKUP(B4232,'Mapa Cotações'!$A:$N,2,0))))))))</f>
        <v/>
      </c>
      <c r="D4232" s="89" t="str">
        <f>IF(B4232="","",IF($A$8="NÃO DESONERADO",(IF(A4232="SINAPI",VLOOKUP(B4232,#REF!,3,0),IF(A4232="SUDECAP",VLOOKUP(B4232,#REF!,4,0),IF(A4232="SETOP",VLOOKUP(B4232,#REF!,3,0),IF(A4232="COTAÇÃO",VLOOKUP(B4232,'Mapa Cotações'!$A:$N,3,0)))))),(IF(A4232="SINAPI",VLOOKUP(B4232,#REF!,3,0),IF(A4232="SUDECAP",VLOOKUP(B4232,#REF!,4,0),IF(A4232="SETOP",VLOOKUP(B4232,#REF!,3,0),IF(A4232="COTAÇÃO",VLOOKUP(B4232,'Mapa Cotações'!$A:$N,3,0))))))))</f>
        <v/>
      </c>
      <c r="E4232" s="88"/>
      <c r="F4232" s="89" t="str">
        <f>IF(B4232="","",IF($A$8="NÃO DESONERADO",(IF(A4232="SINAPI",VLOOKUP(B4232,#REF!,4,0),IF(A4232="SUDECAP",VLOOKUP(B4232,#REF!,5,0),IF(A4232="SETOP",VLOOKUP(B4232,#REF!,4,0),IF(A4232="COTAÇÃO",VLOOKUP(B4232,'Mapa Cotações'!$A:$N,13,0)))))),(IF(A4232="SINAPI",VLOOKUP(B4232,#REF!,4,0),IF(A4232="SUDECAP",VLOOKUP(B4232,#REF!,5,0),IF(A4232="SETOP",VLOOKUP(B4232,#REF!,4,0),IF(A4232="COTAÇÃO",VLOOKUP(B4232,'Mapa Cotações'!$A:$N,13,0))))))))</f>
        <v/>
      </c>
      <c r="G4232" s="89" t="str">
        <f>IF(D4232="","",E4232*F4232)</f>
        <v/>
      </c>
    </row>
    <row r="4233" spans="1:7">
      <c r="A4233" s="832" t="s">
        <v>1908</v>
      </c>
      <c r="B4233" s="833" t="s">
        <v>1908</v>
      </c>
      <c r="C4233" s="833"/>
      <c r="D4233" s="833"/>
      <c r="E4233" s="833"/>
      <c r="F4233" s="834"/>
      <c r="G4233" s="90" t="str">
        <f>IF(F4231="","",(SUM(G4231:G4232)))</f>
        <v/>
      </c>
    </row>
    <row r="4234" spans="1:7" ht="13.5" thickBot="1">
      <c r="A4234" s="91"/>
      <c r="B4234" s="92"/>
      <c r="C4234" s="163"/>
      <c r="D4234" s="99"/>
      <c r="E4234" s="100"/>
      <c r="F4234" s="101"/>
      <c r="G4234" s="102"/>
    </row>
    <row r="4235" spans="1:7" ht="13.5" thickBot="1">
      <c r="A4235" s="838" t="s">
        <v>1259</v>
      </c>
      <c r="B4235" s="839"/>
      <c r="C4235" s="839"/>
      <c r="D4235" s="839"/>
      <c r="E4235" s="839"/>
      <c r="F4235" s="840"/>
      <c r="G4235" s="103">
        <f>SUM(G4221,G4227,G4233)</f>
        <v>7031.14</v>
      </c>
    </row>
    <row r="4237" spans="1:7" hidden="1">
      <c r="A4237" s="660"/>
      <c r="B4237" s="653"/>
      <c r="C4237" s="815"/>
      <c r="D4237" s="815"/>
      <c r="E4237" s="815"/>
      <c r="F4237" s="815"/>
      <c r="G4237" s="632"/>
    </row>
    <row r="4238" spans="1:7" hidden="1">
      <c r="A4238" s="179"/>
      <c r="B4238" s="82"/>
      <c r="C4238" s="816"/>
      <c r="D4238" s="817"/>
      <c r="E4238" s="817"/>
      <c r="F4238" s="186"/>
      <c r="G4238" s="83"/>
    </row>
    <row r="4239" spans="1:7" hidden="1">
      <c r="A4239" s="818"/>
      <c r="B4239" s="819"/>
      <c r="C4239" s="819"/>
      <c r="D4239" s="819"/>
      <c r="E4239" s="819"/>
      <c r="F4239" s="819"/>
      <c r="G4239" s="820"/>
    </row>
    <row r="4240" spans="1:7" hidden="1">
      <c r="A4240" s="633"/>
      <c r="B4240" s="633"/>
      <c r="C4240" s="649"/>
      <c r="D4240" s="633"/>
      <c r="E4240" s="634"/>
      <c r="F4240" s="635"/>
      <c r="G4240" s="635"/>
    </row>
    <row r="4241" spans="1:7" hidden="1">
      <c r="A4241" s="636"/>
      <c r="B4241" s="187"/>
      <c r="C4241" s="662"/>
      <c r="D4241" s="638"/>
      <c r="E4241" s="637"/>
      <c r="F4241" s="638"/>
      <c r="G4241" s="638"/>
    </row>
    <row r="4242" spans="1:7" hidden="1">
      <c r="A4242" s="636"/>
      <c r="B4242" s="636"/>
      <c r="C4242" s="661"/>
      <c r="D4242" s="638"/>
      <c r="E4242" s="637"/>
      <c r="F4242" s="638"/>
      <c r="G4242" s="638"/>
    </row>
    <row r="4243" spans="1:7" hidden="1">
      <c r="A4243" s="821"/>
      <c r="B4243" s="822"/>
      <c r="C4243" s="822"/>
      <c r="D4243" s="822"/>
      <c r="E4243" s="822"/>
      <c r="F4243" s="823"/>
      <c r="G4243" s="613"/>
    </row>
    <row r="4244" spans="1:7" hidden="1">
      <c r="A4244" s="639"/>
      <c r="B4244" s="640"/>
      <c r="C4244" s="161"/>
      <c r="D4244" s="93"/>
      <c r="E4244" s="94"/>
      <c r="F4244" s="95"/>
      <c r="G4244" s="641"/>
    </row>
    <row r="4245" spans="1:7" hidden="1">
      <c r="A4245" s="824"/>
      <c r="B4245" s="825"/>
      <c r="C4245" s="825"/>
      <c r="D4245" s="825"/>
      <c r="E4245" s="825"/>
      <c r="F4245" s="825"/>
      <c r="G4245" s="826"/>
    </row>
    <row r="4246" spans="1:7" hidden="1">
      <c r="A4246" s="633"/>
      <c r="B4246" s="633"/>
      <c r="C4246" s="649"/>
      <c r="D4246" s="633"/>
      <c r="E4246" s="634"/>
      <c r="F4246" s="635"/>
      <c r="G4246" s="635"/>
    </row>
    <row r="4247" spans="1:7" hidden="1">
      <c r="A4247" s="636"/>
      <c r="B4247" s="636"/>
      <c r="C4247" s="661"/>
      <c r="D4247" s="638"/>
      <c r="E4247" s="637"/>
      <c r="F4247" s="638"/>
      <c r="G4247" s="638"/>
    </row>
    <row r="4248" spans="1:7" hidden="1">
      <c r="A4248" s="636"/>
      <c r="B4248" s="636"/>
      <c r="C4248" s="661"/>
      <c r="D4248" s="638"/>
      <c r="E4248" s="637"/>
      <c r="F4248" s="638"/>
      <c r="G4248" s="638"/>
    </row>
    <row r="4249" spans="1:7" hidden="1">
      <c r="A4249" s="821"/>
      <c r="B4249" s="822"/>
      <c r="C4249" s="822"/>
      <c r="D4249" s="822"/>
      <c r="E4249" s="822"/>
      <c r="F4249" s="823"/>
      <c r="G4249" s="613"/>
    </row>
    <row r="4250" spans="1:7" hidden="1">
      <c r="A4250" s="639"/>
      <c r="B4250" s="640"/>
      <c r="C4250" s="650"/>
      <c r="D4250" s="640"/>
      <c r="E4250" s="642"/>
      <c r="F4250" s="643"/>
      <c r="G4250" s="641"/>
    </row>
    <row r="4251" spans="1:7" hidden="1">
      <c r="A4251" s="824"/>
      <c r="B4251" s="825"/>
      <c r="C4251" s="825"/>
      <c r="D4251" s="825"/>
      <c r="E4251" s="825"/>
      <c r="F4251" s="825"/>
      <c r="G4251" s="826"/>
    </row>
    <row r="4252" spans="1:7" hidden="1">
      <c r="A4252" s="633"/>
      <c r="B4252" s="633"/>
      <c r="C4252" s="649"/>
      <c r="D4252" s="633"/>
      <c r="E4252" s="634"/>
      <c r="F4252" s="635"/>
      <c r="G4252" s="635"/>
    </row>
    <row r="4253" spans="1:7" hidden="1">
      <c r="A4253" s="636"/>
      <c r="B4253" s="636"/>
      <c r="C4253" s="661"/>
      <c r="D4253" s="638"/>
      <c r="E4253" s="637"/>
      <c r="F4253" s="638"/>
      <c r="G4253" s="638"/>
    </row>
    <row r="4254" spans="1:7" hidden="1">
      <c r="A4254" s="636"/>
      <c r="B4254" s="636"/>
      <c r="C4254" s="661"/>
      <c r="D4254" s="638"/>
      <c r="E4254" s="637"/>
      <c r="F4254" s="638"/>
      <c r="G4254" s="638"/>
    </row>
    <row r="4255" spans="1:7" hidden="1">
      <c r="A4255" s="821"/>
      <c r="B4255" s="822"/>
      <c r="C4255" s="822"/>
      <c r="D4255" s="822"/>
      <c r="E4255" s="822"/>
      <c r="F4255" s="823"/>
      <c r="G4255" s="613"/>
    </row>
    <row r="4256" spans="1:7" ht="13.5" hidden="1" thickBot="1">
      <c r="A4256" s="639"/>
      <c r="B4256" s="640"/>
      <c r="C4256" s="651"/>
      <c r="D4256" s="644"/>
      <c r="E4256" s="645"/>
      <c r="F4256" s="646"/>
      <c r="G4256" s="647"/>
    </row>
    <row r="4257" spans="1:11" ht="13.5" hidden="1" thickBot="1">
      <c r="A4257" s="827"/>
      <c r="B4257" s="828"/>
      <c r="C4257" s="828"/>
      <c r="D4257" s="828"/>
      <c r="E4257" s="828"/>
      <c r="F4257" s="829"/>
      <c r="G4257" s="103"/>
    </row>
    <row r="4260" spans="1:11">
      <c r="A4260" s="237" t="s">
        <v>131</v>
      </c>
      <c r="B4260" s="190" t="s">
        <v>27</v>
      </c>
      <c r="C4260" s="841" t="s">
        <v>1281</v>
      </c>
      <c r="D4260" s="841"/>
      <c r="E4260" s="841"/>
      <c r="F4260" s="841"/>
      <c r="G4260" s="81" t="s">
        <v>127</v>
      </c>
      <c r="I4260" s="480" t="s">
        <v>1901</v>
      </c>
      <c r="J4260" s="80"/>
      <c r="K4260" s="80"/>
    </row>
    <row r="4261" spans="1:11" ht="39.950000000000003" customHeight="1">
      <c r="A4261" s="179" t="s">
        <v>1140</v>
      </c>
      <c r="B4261" s="82"/>
      <c r="C4261" s="816" t="s">
        <v>3067</v>
      </c>
      <c r="D4261" s="817"/>
      <c r="E4261" s="817"/>
      <c r="F4261" s="186">
        <f>G4280</f>
        <v>6166.05</v>
      </c>
      <c r="G4261" s="83" t="s">
        <v>167</v>
      </c>
      <c r="I4261" s="481"/>
      <c r="J4261" s="272"/>
      <c r="K4261" s="272"/>
    </row>
    <row r="4262" spans="1:11">
      <c r="A4262" s="818" t="s">
        <v>1902</v>
      </c>
      <c r="B4262" s="819"/>
      <c r="C4262" s="819"/>
      <c r="D4262" s="819"/>
      <c r="E4262" s="819"/>
      <c r="F4262" s="819"/>
      <c r="G4262" s="820"/>
    </row>
    <row r="4263" spans="1:11">
      <c r="A4263" s="84" t="s">
        <v>1903</v>
      </c>
      <c r="B4263" s="84" t="s">
        <v>131</v>
      </c>
      <c r="C4263" s="160" t="s">
        <v>1904</v>
      </c>
      <c r="D4263" s="84" t="s">
        <v>167</v>
      </c>
      <c r="E4263" s="85" t="s">
        <v>1905</v>
      </c>
      <c r="F4263" s="86" t="s">
        <v>1906</v>
      </c>
      <c r="G4263" s="86" t="s">
        <v>1907</v>
      </c>
    </row>
    <row r="4264" spans="1:11" ht="35.1" customHeight="1">
      <c r="A4264" s="87" t="s">
        <v>1917</v>
      </c>
      <c r="B4264" s="187" t="s">
        <v>2143</v>
      </c>
      <c r="C4264" s="475" t="str">
        <f>IF(B4264="","",IF($A$8="NÃO DESONERADO",(IF(A4264="SINAPI",VLOOKUP(B4264,#REF!,2,0),IF(A4264="SUDECAP",VLOOKUP(B4264,#REF!,3,0),IF(A4264="SETOP",VLOOKUP(B4264,#REF!,2,0),IF(A4264="COTAÇÃO",VLOOKUP(B4264,'Mapa Cotações'!$A:$N,2,0)))))),(IF(A4264="SINAPI",VLOOKUP(B4264,#REF!,2,0),IF(A4264="SUDECAP",VLOOKUP(B4264,#REF!,3,0),IF(A4264="SETOP",VLOOKUP(B4264,#REF!,2,0),IF(A4264="COTAÇÃO",VLOOKUP(B4264,'Mapa Cotações'!$A:$N,2,0))))))))</f>
        <v xml:space="preserve">ATENUADOR DE RUÍDO COM CARCAÇA E CÉLULAS DE CHAPA GALVANIZADA, COM MATERIAL DE ABSORÇÃO EM LÂ MINERAL REVESTIDO COM TELA DE VIDRO. MODELO KS-200 - ATR-08
VAZÃO DE AR  = 6766 M3/H
PERDA DE CARGA =39 PA
VELOCIDADE NA CÉLULA  = 9,4 M3/H /  LW (DB(A)=40 / NÚMERO DE CÉLULAS =3 
LARGURA/ALTURA/COMPRIMENTO = 1000/500/1000 MM / PESO = 57 KG
FREQUENCIA/ATENUAÇÃO  -    63HZ/3   125/8   250/16  500/16  1000/20  2000/15  4000/11  8000/10  
REF.:BERLINER LUFT OU EQUIVALENTE           </v>
      </c>
      <c r="D4264" s="89" t="str">
        <f>IF(B4264="","",IF($A$8="NÃO DESONERADO",(IF(A4264="SINAPI",VLOOKUP(B4264,#REF!,3,0),IF(A4264="SUDECAP",VLOOKUP(B4264,#REF!,4,0),IF(A4264="SETOP",VLOOKUP(B4264,#REF!,3,0),IF(A4264="COTAÇÃO",VLOOKUP(B4264,'Mapa Cotações'!$A:$N,3,0)))))),(IF(A4264="SINAPI",VLOOKUP(B4264,#REF!,3,0),IF(A4264="SUDECAP",VLOOKUP(B4264,#REF!,4,0),IF(A4264="SETOP",VLOOKUP(B4264,#REF!,3,0),IF(A4264="COTAÇÃO",VLOOKUP(B4264,'Mapa Cotações'!$A:$N,3,0))))))))</f>
        <v>UN</v>
      </c>
      <c r="E4264" s="88">
        <v>1</v>
      </c>
      <c r="F4264" s="89">
        <f>IF(B4264="","",IF($A$8="NÃO DESONERADO",(IF(A4264="SINAPI",VLOOKUP(B4264,#REF!,4,0),IF(A4264="SUDECAP",VLOOKUP(B4264,#REF!,5,0),IF(A4264="SETOP",VLOOKUP(B4264,#REF!,4,0),IF(A4264="COTAÇÃO",VLOOKUP(B4264,'Mapa Cotações'!$A:$N,13,0)))))),(IF(A4264="SINAPI",VLOOKUP(B4264,#REF!,4,0),IF(A4264="SUDECAP",VLOOKUP(B4264,#REF!,5,0),IF(A4264="SETOP",VLOOKUP(B4264,#REF!,4,0),IF(A4264="COTAÇÃO",VLOOKUP(B4264,'Mapa Cotações'!$A:$N,13,0))))))))</f>
        <v>6115.72</v>
      </c>
      <c r="G4264" s="89">
        <f>IF(D4264="","",E4264*F4264)</f>
        <v>6115.72</v>
      </c>
    </row>
    <row r="4265" spans="1:11">
      <c r="A4265" s="87"/>
      <c r="B4265" s="87"/>
      <c r="C4265" s="278" t="str">
        <f>IF(B4265="","",IF($A$8="NÃO DESONERADO",(IF(A4265="SINAPI",VLOOKUP(B4265,#REF!,2,0),IF(A4265="SUDECAP",VLOOKUP(B4265,#REF!,3,0),IF(A4265="SETOP",VLOOKUP(B4265,#REF!,2,0),IF(A4265="COTAÇÃO",VLOOKUP(B4265,'Mapa Cotações'!$A:$N,2,0)))))),(IF(A4265="SINAPI",VLOOKUP(B4265,#REF!,2,0),IF(A4265="SUDECAP",VLOOKUP(B4265,#REF!,3,0),IF(A4265="SETOP",VLOOKUP(B4265,#REF!,2,0),IF(A4265="COTAÇÃO",VLOOKUP(B4265,'Mapa Cotações'!$A:$N,2,0))))))))</f>
        <v/>
      </c>
      <c r="D4265" s="89" t="str">
        <f>IF(B4265="","",IF($A$8="NÃO DESONERADO",(IF(A4265="SINAPI",VLOOKUP(B4265,#REF!,3,0),IF(A4265="SUDECAP",VLOOKUP(B4265,#REF!,4,0),IF(A4265="SETOP",VLOOKUP(B4265,#REF!,3,0),IF(A4265="COTAÇÃO",VLOOKUP(B4265,'Mapa Cotações'!$A:$N,3,0)))))),(IF(A4265="SINAPI",VLOOKUP(B4265,#REF!,3,0),IF(A4265="SUDECAP",VLOOKUP(B4265,#REF!,4,0),IF(A4265="SETOP",VLOOKUP(B4265,#REF!,3,0),IF(A4265="COTAÇÃO",VLOOKUP(B4265,'Mapa Cotações'!$A:$N,3,0))))))))</f>
        <v/>
      </c>
      <c r="E4265" s="88"/>
      <c r="F4265" s="89" t="str">
        <f>IF(B4265="","",IF($A$8="NÃO DESONERADO",(IF(A4265="SINAPI",VLOOKUP(B4265,#REF!,4,0),IF(A4265="SUDECAP",VLOOKUP(B4265,#REF!,5,0),IF(A4265="SETOP",VLOOKUP(B4265,#REF!,4,0),IF(A4265="COTAÇÃO",VLOOKUP(B4265,'Mapa Cotações'!$A:$N,13,0)))))),(IF(A4265="SINAPI",VLOOKUP(B4265,#REF!,4,0),IF(A4265="SUDECAP",VLOOKUP(B4265,#REF!,5,0),IF(A4265="SETOP",VLOOKUP(B4265,#REF!,4,0),IF(A4265="COTAÇÃO",VLOOKUP(B4265,'Mapa Cotações'!$A:$N,13,0))))))))</f>
        <v/>
      </c>
      <c r="G4265" s="89" t="str">
        <f>IF(D4265="","",E4265*F4265)</f>
        <v/>
      </c>
    </row>
    <row r="4266" spans="1:11">
      <c r="A4266" s="832" t="s">
        <v>1908</v>
      </c>
      <c r="B4266" s="833"/>
      <c r="C4266" s="833"/>
      <c r="D4266" s="833"/>
      <c r="E4266" s="833"/>
      <c r="F4266" s="834"/>
      <c r="G4266" s="90">
        <f>IF(F4264="","",(SUM(G4264:G4265)))</f>
        <v>6115.72</v>
      </c>
    </row>
    <row r="4267" spans="1:11">
      <c r="A4267" s="91"/>
      <c r="B4267" s="92"/>
      <c r="C4267" s="161"/>
      <c r="D4267" s="93"/>
      <c r="E4267" s="94"/>
      <c r="F4267" s="95"/>
      <c r="G4267" s="96"/>
    </row>
    <row r="4268" spans="1:11">
      <c r="A4268" s="835" t="s">
        <v>1909</v>
      </c>
      <c r="B4268" s="836"/>
      <c r="C4268" s="836"/>
      <c r="D4268" s="836"/>
      <c r="E4268" s="836"/>
      <c r="F4268" s="836"/>
      <c r="G4268" s="837"/>
    </row>
    <row r="4269" spans="1:11">
      <c r="A4269" s="84" t="s">
        <v>1903</v>
      </c>
      <c r="B4269" s="84" t="s">
        <v>131</v>
      </c>
      <c r="C4269" s="160" t="s">
        <v>1904</v>
      </c>
      <c r="D4269" s="84" t="s">
        <v>167</v>
      </c>
      <c r="E4269" s="85" t="s">
        <v>1905</v>
      </c>
      <c r="F4269" s="86" t="s">
        <v>1906</v>
      </c>
      <c r="G4269" s="86" t="s">
        <v>1907</v>
      </c>
    </row>
    <row r="4270" spans="1:11" ht="24">
      <c r="A4270" s="636" t="s">
        <v>2</v>
      </c>
      <c r="B4270" s="636">
        <v>88243</v>
      </c>
      <c r="C4270" s="661" t="s">
        <v>2100</v>
      </c>
      <c r="D4270" s="638" t="s">
        <v>137</v>
      </c>
      <c r="E4270" s="637">
        <v>1</v>
      </c>
      <c r="F4270" s="638">
        <v>24.36</v>
      </c>
      <c r="G4270" s="638">
        <f>IF(D4270="","",E4270*F4270)</f>
        <v>24.36</v>
      </c>
    </row>
    <row r="4271" spans="1:11" ht="24">
      <c r="A4271" s="636" t="s">
        <v>2</v>
      </c>
      <c r="B4271" s="636">
        <v>100308</v>
      </c>
      <c r="C4271" s="661" t="s">
        <v>1936</v>
      </c>
      <c r="D4271" s="638" t="s">
        <v>137</v>
      </c>
      <c r="E4271" s="637">
        <v>1</v>
      </c>
      <c r="F4271" s="638">
        <v>25.97</v>
      </c>
      <c r="G4271" s="638">
        <f>IF(D4271="","",E4271*F4271)</f>
        <v>25.97</v>
      </c>
    </row>
    <row r="4272" spans="1:11">
      <c r="A4272" s="832" t="s">
        <v>1908</v>
      </c>
      <c r="B4272" s="833"/>
      <c r="C4272" s="833"/>
      <c r="D4272" s="833"/>
      <c r="E4272" s="833"/>
      <c r="F4272" s="834"/>
      <c r="G4272" s="90">
        <f>IF(F4270="","",(SUM(G4270:G4271)))</f>
        <v>50.33</v>
      </c>
    </row>
    <row r="4273" spans="1:7">
      <c r="A4273" s="91"/>
      <c r="B4273" s="92"/>
      <c r="C4273" s="162"/>
      <c r="D4273" s="92"/>
      <c r="E4273" s="97"/>
      <c r="F4273" s="98"/>
      <c r="G4273" s="96"/>
    </row>
    <row r="4274" spans="1:7">
      <c r="A4274" s="835" t="s">
        <v>1912</v>
      </c>
      <c r="B4274" s="836"/>
      <c r="C4274" s="836"/>
      <c r="D4274" s="836"/>
      <c r="E4274" s="836"/>
      <c r="F4274" s="836"/>
      <c r="G4274" s="837"/>
    </row>
    <row r="4275" spans="1:7">
      <c r="A4275" s="84" t="s">
        <v>1903</v>
      </c>
      <c r="B4275" s="84" t="s">
        <v>131</v>
      </c>
      <c r="C4275" s="160" t="s">
        <v>1904</v>
      </c>
      <c r="D4275" s="84" t="s">
        <v>167</v>
      </c>
      <c r="E4275" s="85" t="s">
        <v>1905</v>
      </c>
      <c r="F4275" s="86" t="s">
        <v>1906</v>
      </c>
      <c r="G4275" s="86" t="s">
        <v>1907</v>
      </c>
    </row>
    <row r="4276" spans="1:7">
      <c r="A4276" s="87"/>
      <c r="B4276" s="87"/>
      <c r="C4276" s="278" t="str">
        <f>IF(B4276="","",IF($A$8="NÃO DESONERADO",(IF(A4276="SINAPI",VLOOKUP(B4276,#REF!,2,0),IF(A4276="SUDECAP",VLOOKUP(B4276,#REF!,3,0),IF(A4276="SETOP",VLOOKUP(B4276,#REF!,2,0),IF(A4276="COTAÇÃO",VLOOKUP(B4276,'Mapa Cotações'!$A:$N,2,0)))))),(IF(A4276="SINAPI",VLOOKUP(B4276,#REF!,2,0),IF(A4276="SUDECAP",VLOOKUP(B4276,#REF!,3,0),IF(A4276="SETOP",VLOOKUP(B4276,#REF!,2,0),IF(A4276="COTAÇÃO",VLOOKUP(B4276,'Mapa Cotações'!$A:$N,2,0))))))))</f>
        <v/>
      </c>
      <c r="D4276" s="89" t="str">
        <f>IF(B4276="","",IF($A$8="NÃO DESONERADO",(IF(A4276="SINAPI",VLOOKUP(B4276,#REF!,3,0),IF(A4276="SUDECAP",VLOOKUP(B4276,#REF!,4,0),IF(A4276="SETOP",VLOOKUP(B4276,#REF!,3,0),IF(A4276="COTAÇÃO",VLOOKUP(B4276,'Mapa Cotações'!$A:$N,3,0)))))),(IF(A4276="SINAPI",VLOOKUP(B4276,#REF!,3,0),IF(A4276="SUDECAP",VLOOKUP(B4276,#REF!,4,0),IF(A4276="SETOP",VLOOKUP(B4276,#REF!,3,0),IF(A4276="COTAÇÃO",VLOOKUP(B4276,'Mapa Cotações'!$A:$N,3,0))))))))</f>
        <v/>
      </c>
      <c r="E4276" s="88"/>
      <c r="F4276" s="89" t="str">
        <f>IF(B4276="","",IF($A$8="NÃO DESONERADO",(IF(A4276="SINAPI",VLOOKUP(B4276,#REF!,4,0),IF(A4276="SUDECAP",VLOOKUP(B4276,#REF!,5,0),IF(A4276="SETOP",VLOOKUP(B4276,#REF!,4,0),IF(A4276="COTAÇÃO",VLOOKUP(B4276,'Mapa Cotações'!$A:$N,13,0)))))),(IF(A4276="SINAPI",VLOOKUP(B4276,#REF!,4,0),IF(A4276="SUDECAP",VLOOKUP(B4276,#REF!,5,0),IF(A4276="SETOP",VLOOKUP(B4276,#REF!,4,0),IF(A4276="COTAÇÃO",VLOOKUP(B4276,'Mapa Cotações'!$A:$N,13,0))))))))</f>
        <v/>
      </c>
      <c r="G4276" s="89" t="str">
        <f>IF(D4276="","",E4276*F4276)</f>
        <v/>
      </c>
    </row>
    <row r="4277" spans="1:7">
      <c r="A4277" s="87"/>
      <c r="B4277" s="87"/>
      <c r="C4277" s="278" t="str">
        <f>IF(B4277="","",IF($A$8="NÃO DESONERADO",(IF(A4277="SINAPI",VLOOKUP(B4277,#REF!,2,0),IF(A4277="SUDECAP",VLOOKUP(B4277,#REF!,3,0),IF(A4277="SETOP",VLOOKUP(B4277,#REF!,2,0),IF(A4277="COTAÇÃO",VLOOKUP(B4277,'Mapa Cotações'!$A:$N,2,0)))))),(IF(A4277="SINAPI",VLOOKUP(B4277,#REF!,2,0),IF(A4277="SUDECAP",VLOOKUP(B4277,#REF!,3,0),IF(A4277="SETOP",VLOOKUP(B4277,#REF!,2,0),IF(A4277="COTAÇÃO",VLOOKUP(B4277,'Mapa Cotações'!$A:$N,2,0))))))))</f>
        <v/>
      </c>
      <c r="D4277" s="89" t="str">
        <f>IF(B4277="","",IF($A$8="NÃO DESONERADO",(IF(A4277="SINAPI",VLOOKUP(B4277,#REF!,3,0),IF(A4277="SUDECAP",VLOOKUP(B4277,#REF!,4,0),IF(A4277="SETOP",VLOOKUP(B4277,#REF!,3,0),IF(A4277="COTAÇÃO",VLOOKUP(B4277,'Mapa Cotações'!$A:$N,3,0)))))),(IF(A4277="SINAPI",VLOOKUP(B4277,#REF!,3,0),IF(A4277="SUDECAP",VLOOKUP(B4277,#REF!,4,0),IF(A4277="SETOP",VLOOKUP(B4277,#REF!,3,0),IF(A4277="COTAÇÃO",VLOOKUP(B4277,'Mapa Cotações'!$A:$N,3,0))))))))</f>
        <v/>
      </c>
      <c r="E4277" s="88"/>
      <c r="F4277" s="89" t="str">
        <f>IF(B4277="","",IF($A$8="NÃO DESONERADO",(IF(A4277="SINAPI",VLOOKUP(B4277,#REF!,4,0),IF(A4277="SUDECAP",VLOOKUP(B4277,#REF!,5,0),IF(A4277="SETOP",VLOOKUP(B4277,#REF!,4,0),IF(A4277="COTAÇÃO",VLOOKUP(B4277,'Mapa Cotações'!$A:$N,13,0)))))),(IF(A4277="SINAPI",VLOOKUP(B4277,#REF!,4,0),IF(A4277="SUDECAP",VLOOKUP(B4277,#REF!,5,0),IF(A4277="SETOP",VLOOKUP(B4277,#REF!,4,0),IF(A4277="COTAÇÃO",VLOOKUP(B4277,'Mapa Cotações'!$A:$N,13,0))))))))</f>
        <v/>
      </c>
      <c r="G4277" s="89" t="str">
        <f>IF(D4277="","",E4277*F4277)</f>
        <v/>
      </c>
    </row>
    <row r="4278" spans="1:7">
      <c r="A4278" s="832" t="s">
        <v>1908</v>
      </c>
      <c r="B4278" s="833" t="s">
        <v>1908</v>
      </c>
      <c r="C4278" s="833"/>
      <c r="D4278" s="833"/>
      <c r="E4278" s="833"/>
      <c r="F4278" s="834"/>
      <c r="G4278" s="90" t="str">
        <f>IF(F4276="","",(SUM(G4276:G4277)))</f>
        <v/>
      </c>
    </row>
    <row r="4279" spans="1:7" ht="13.5" thickBot="1">
      <c r="A4279" s="91"/>
      <c r="B4279" s="92"/>
      <c r="C4279" s="163"/>
      <c r="D4279" s="99"/>
      <c r="E4279" s="100"/>
      <c r="F4279" s="101"/>
      <c r="G4279" s="102"/>
    </row>
    <row r="4280" spans="1:7" ht="13.5" thickBot="1">
      <c r="A4280" s="838" t="s">
        <v>1259</v>
      </c>
      <c r="B4280" s="839"/>
      <c r="C4280" s="839"/>
      <c r="D4280" s="839"/>
      <c r="E4280" s="839"/>
      <c r="F4280" s="840"/>
      <c r="G4280" s="103">
        <f>SUM(G4266,G4272,G4278)</f>
        <v>6166.05</v>
      </c>
    </row>
    <row r="4282" spans="1:7" hidden="1">
      <c r="A4282" s="660"/>
      <c r="B4282" s="653"/>
      <c r="C4282" s="815"/>
      <c r="D4282" s="815"/>
      <c r="E4282" s="815"/>
      <c r="F4282" s="815"/>
      <c r="G4282" s="632"/>
    </row>
    <row r="4283" spans="1:7" hidden="1">
      <c r="A4283" s="179"/>
      <c r="B4283" s="82"/>
      <c r="C4283" s="816"/>
      <c r="D4283" s="817"/>
      <c r="E4283" s="817"/>
      <c r="F4283" s="186"/>
      <c r="G4283" s="83"/>
    </row>
    <row r="4284" spans="1:7" hidden="1">
      <c r="A4284" s="818"/>
      <c r="B4284" s="819"/>
      <c r="C4284" s="819"/>
      <c r="D4284" s="819"/>
      <c r="E4284" s="819"/>
      <c r="F4284" s="819"/>
      <c r="G4284" s="820"/>
    </row>
    <row r="4285" spans="1:7" hidden="1">
      <c r="A4285" s="633"/>
      <c r="B4285" s="633"/>
      <c r="C4285" s="649"/>
      <c r="D4285" s="633"/>
      <c r="E4285" s="634"/>
      <c r="F4285" s="635"/>
      <c r="G4285" s="635"/>
    </row>
    <row r="4286" spans="1:7" hidden="1">
      <c r="A4286" s="636"/>
      <c r="B4286" s="187"/>
      <c r="C4286" s="662"/>
      <c r="D4286" s="638"/>
      <c r="E4286" s="637"/>
      <c r="F4286" s="638"/>
      <c r="G4286" s="638"/>
    </row>
    <row r="4287" spans="1:7" hidden="1">
      <c r="A4287" s="636"/>
      <c r="B4287" s="636"/>
      <c r="C4287" s="661"/>
      <c r="D4287" s="638"/>
      <c r="E4287" s="637"/>
      <c r="F4287" s="638"/>
      <c r="G4287" s="638"/>
    </row>
    <row r="4288" spans="1:7" hidden="1">
      <c r="A4288" s="821"/>
      <c r="B4288" s="822"/>
      <c r="C4288" s="822"/>
      <c r="D4288" s="822"/>
      <c r="E4288" s="822"/>
      <c r="F4288" s="823"/>
      <c r="G4288" s="613"/>
    </row>
    <row r="4289" spans="1:11" hidden="1">
      <c r="A4289" s="639"/>
      <c r="B4289" s="640"/>
      <c r="C4289" s="161"/>
      <c r="D4289" s="93"/>
      <c r="E4289" s="94"/>
      <c r="F4289" s="95"/>
      <c r="G4289" s="641"/>
    </row>
    <row r="4290" spans="1:11" hidden="1">
      <c r="A4290" s="824"/>
      <c r="B4290" s="825"/>
      <c r="C4290" s="825"/>
      <c r="D4290" s="825"/>
      <c r="E4290" s="825"/>
      <c r="F4290" s="825"/>
      <c r="G4290" s="826"/>
    </row>
    <row r="4291" spans="1:11" hidden="1">
      <c r="A4291" s="633"/>
      <c r="B4291" s="633"/>
      <c r="C4291" s="649"/>
      <c r="D4291" s="633"/>
      <c r="E4291" s="634"/>
      <c r="F4291" s="635"/>
      <c r="G4291" s="635"/>
    </row>
    <row r="4292" spans="1:11" hidden="1">
      <c r="A4292" s="636"/>
      <c r="B4292" s="636"/>
      <c r="C4292" s="661"/>
      <c r="D4292" s="638"/>
      <c r="E4292" s="637"/>
      <c r="F4292" s="638"/>
      <c r="G4292" s="638"/>
    </row>
    <row r="4293" spans="1:11" hidden="1">
      <c r="A4293" s="636"/>
      <c r="B4293" s="636"/>
      <c r="C4293" s="661"/>
      <c r="D4293" s="638"/>
      <c r="E4293" s="637"/>
      <c r="F4293" s="638"/>
      <c r="G4293" s="638"/>
    </row>
    <row r="4294" spans="1:11" hidden="1">
      <c r="A4294" s="821"/>
      <c r="B4294" s="822"/>
      <c r="C4294" s="822"/>
      <c r="D4294" s="822"/>
      <c r="E4294" s="822"/>
      <c r="F4294" s="823"/>
      <c r="G4294" s="613"/>
    </row>
    <row r="4295" spans="1:11" hidden="1">
      <c r="A4295" s="639"/>
      <c r="B4295" s="640"/>
      <c r="C4295" s="650"/>
      <c r="D4295" s="640"/>
      <c r="E4295" s="642"/>
      <c r="F4295" s="643"/>
      <c r="G4295" s="641"/>
    </row>
    <row r="4296" spans="1:11" hidden="1">
      <c r="A4296" s="824"/>
      <c r="B4296" s="825"/>
      <c r="C4296" s="825"/>
      <c r="D4296" s="825"/>
      <c r="E4296" s="825"/>
      <c r="F4296" s="825"/>
      <c r="G4296" s="826"/>
    </row>
    <row r="4297" spans="1:11" hidden="1">
      <c r="A4297" s="633"/>
      <c r="B4297" s="633"/>
      <c r="C4297" s="649"/>
      <c r="D4297" s="633"/>
      <c r="E4297" s="634"/>
      <c r="F4297" s="635"/>
      <c r="G4297" s="635"/>
    </row>
    <row r="4298" spans="1:11" hidden="1">
      <c r="A4298" s="636"/>
      <c r="B4298" s="636"/>
      <c r="C4298" s="661"/>
      <c r="D4298" s="638"/>
      <c r="E4298" s="637"/>
      <c r="F4298" s="638"/>
      <c r="G4298" s="638"/>
    </row>
    <row r="4299" spans="1:11" hidden="1">
      <c r="A4299" s="636"/>
      <c r="B4299" s="636"/>
      <c r="C4299" s="661"/>
      <c r="D4299" s="638"/>
      <c r="E4299" s="637"/>
      <c r="F4299" s="638"/>
      <c r="G4299" s="638"/>
    </row>
    <row r="4300" spans="1:11" hidden="1">
      <c r="A4300" s="821"/>
      <c r="B4300" s="822"/>
      <c r="C4300" s="822"/>
      <c r="D4300" s="822"/>
      <c r="E4300" s="822"/>
      <c r="F4300" s="823"/>
      <c r="G4300" s="613"/>
    </row>
    <row r="4301" spans="1:11" ht="13.5" hidden="1" thickBot="1">
      <c r="A4301" s="639"/>
      <c r="B4301" s="640"/>
      <c r="C4301" s="651"/>
      <c r="D4301" s="644"/>
      <c r="E4301" s="645"/>
      <c r="F4301" s="646"/>
      <c r="G4301" s="647"/>
    </row>
    <row r="4302" spans="1:11" ht="13.5" hidden="1" thickBot="1">
      <c r="A4302" s="827"/>
      <c r="B4302" s="828"/>
      <c r="C4302" s="828"/>
      <c r="D4302" s="828"/>
      <c r="E4302" s="828"/>
      <c r="F4302" s="829"/>
      <c r="G4302" s="103"/>
    </row>
    <row r="4304" spans="1:11">
      <c r="A4304" s="237" t="s">
        <v>131</v>
      </c>
      <c r="B4304" s="190" t="s">
        <v>27</v>
      </c>
      <c r="C4304" s="841" t="s">
        <v>1281</v>
      </c>
      <c r="D4304" s="841"/>
      <c r="E4304" s="841"/>
      <c r="F4304" s="841"/>
      <c r="G4304" s="81" t="s">
        <v>127</v>
      </c>
      <c r="I4304" s="480" t="s">
        <v>1901</v>
      </c>
      <c r="J4304" s="80"/>
      <c r="K4304" s="80"/>
    </row>
    <row r="4305" spans="1:11" ht="39.950000000000003" customHeight="1">
      <c r="A4305" s="179" t="s">
        <v>1143</v>
      </c>
      <c r="B4305" s="82"/>
      <c r="C4305" s="816" t="s">
        <v>3068</v>
      </c>
      <c r="D4305" s="817"/>
      <c r="E4305" s="817"/>
      <c r="F4305" s="186">
        <f>G4324</f>
        <v>3742.4639999999999</v>
      </c>
      <c r="G4305" s="83" t="s">
        <v>167</v>
      </c>
      <c r="I4305" s="481"/>
      <c r="J4305" s="272"/>
      <c r="K4305" s="272"/>
    </row>
    <row r="4306" spans="1:11">
      <c r="A4306" s="818" t="s">
        <v>1902</v>
      </c>
      <c r="B4306" s="819"/>
      <c r="C4306" s="819"/>
      <c r="D4306" s="819"/>
      <c r="E4306" s="819"/>
      <c r="F4306" s="819"/>
      <c r="G4306" s="820"/>
    </row>
    <row r="4307" spans="1:11">
      <c r="A4307" s="84" t="s">
        <v>1903</v>
      </c>
      <c r="B4307" s="84" t="s">
        <v>131</v>
      </c>
      <c r="C4307" s="160" t="s">
        <v>1904</v>
      </c>
      <c r="D4307" s="84" t="s">
        <v>167</v>
      </c>
      <c r="E4307" s="85" t="s">
        <v>1905</v>
      </c>
      <c r="F4307" s="86" t="s">
        <v>1906</v>
      </c>
      <c r="G4307" s="86" t="s">
        <v>1907</v>
      </c>
    </row>
    <row r="4308" spans="1:11" ht="35.1" customHeight="1">
      <c r="A4308" s="87" t="s">
        <v>1917</v>
      </c>
      <c r="B4308" s="187" t="s">
        <v>2145</v>
      </c>
      <c r="C4308" s="475" t="str">
        <f>IF(B4308="","",IF($A$8="NÃO DESONERADO",(IF(A4308="SINAPI",VLOOKUP(B4308,#REF!,2,0),IF(A4308="SUDECAP",VLOOKUP(B4308,#REF!,3,0),IF(A4308="SETOP",VLOOKUP(B4308,#REF!,2,0),IF(A4308="COTAÇÃO",VLOOKUP(B4308,'Mapa Cotações'!$A:$N,2,0)))))),(IF(A4308="SINAPI",VLOOKUP(B4308,#REF!,2,0),IF(A4308="SUDECAP",VLOOKUP(B4308,#REF!,3,0),IF(A4308="SETOP",VLOOKUP(B4308,#REF!,2,0),IF(A4308="COTAÇÃO",VLOOKUP(B4308,'Mapa Cotações'!$A:$N,2,0))))))))</f>
        <v xml:space="preserve">ATENUADOR DE RUÍDO COM CARCAÇA E CÉLULAS DE CHAPA GALVANIZADA, COM MATERIAL DE ABSORÇÃO EM LÂ MINERAL REVESTIDO COM TELA DE VIDRO. MODELO KS-200 - ATR-09
VAZÃO DE AR  =1245 M3/H
PERDA DE CARGA =33 PA
VELOCIDADE NA CÉLULA  = 6,9 M3/H / LW (DB(A)=30 / NÚMERO DE CÉLULAS =2
LARGURA/ALTURA/COMPRIMENTO = 500/500/1000 MM / PESO = 33 KG
FREQUENCIA/ATENUAÇÃO  -    63HZ/6   125/14   250/32  500/33  1000/40  2000/39  4000/26  8000/19   
REF.:BERLINER LUFT OU EQUIVALENTE    </v>
      </c>
      <c r="D4308" s="89" t="str">
        <f>IF(B4308="","",IF($A$8="NÃO DESONERADO",(IF(A4308="SINAPI",VLOOKUP(B4308,#REF!,3,0),IF(A4308="SUDECAP",VLOOKUP(B4308,#REF!,4,0),IF(A4308="SETOP",VLOOKUP(B4308,#REF!,3,0),IF(A4308="COTAÇÃO",VLOOKUP(B4308,'Mapa Cotações'!$A:$N,3,0)))))),(IF(A4308="SINAPI",VLOOKUP(B4308,#REF!,3,0),IF(A4308="SUDECAP",VLOOKUP(B4308,#REF!,4,0),IF(A4308="SETOP",VLOOKUP(B4308,#REF!,3,0),IF(A4308="COTAÇÃO",VLOOKUP(B4308,'Mapa Cotações'!$A:$N,3,0))))))))</f>
        <v>UN</v>
      </c>
      <c r="E4308" s="88">
        <v>1</v>
      </c>
      <c r="F4308" s="89">
        <f>IF(B4308="","",IF($A$8="NÃO DESONERADO",(IF(A4308="SINAPI",VLOOKUP(B4308,#REF!,4,0),IF(A4308="SUDECAP",VLOOKUP(B4308,#REF!,5,0),IF(A4308="SETOP",VLOOKUP(B4308,#REF!,4,0),IF(A4308="COTAÇÃO",VLOOKUP(B4308,'Mapa Cotações'!$A:$N,13,0)))))),(IF(A4308="SINAPI",VLOOKUP(B4308,#REF!,4,0),IF(A4308="SUDECAP",VLOOKUP(B4308,#REF!,5,0),IF(A4308="SETOP",VLOOKUP(B4308,#REF!,4,0),IF(A4308="COTAÇÃO",VLOOKUP(B4308,'Mapa Cotações'!$A:$N,13,0))))))))</f>
        <v>3702.2</v>
      </c>
      <c r="G4308" s="89">
        <f>IF(D4308="","",E4308*F4308)</f>
        <v>3702.2</v>
      </c>
    </row>
    <row r="4309" spans="1:11">
      <c r="A4309" s="87"/>
      <c r="B4309" s="87"/>
      <c r="C4309" s="278" t="str">
        <f>IF(B4309="","",IF($A$8="NÃO DESONERADO",(IF(A4309="SINAPI",VLOOKUP(B4309,#REF!,2,0),IF(A4309="SUDECAP",VLOOKUP(B4309,#REF!,3,0),IF(A4309="SETOP",VLOOKUP(B4309,#REF!,2,0),IF(A4309="COTAÇÃO",VLOOKUP(B4309,'Mapa Cotações'!$A:$N,2,0)))))),(IF(A4309="SINAPI",VLOOKUP(B4309,#REF!,2,0),IF(A4309="SUDECAP",VLOOKUP(B4309,#REF!,3,0),IF(A4309="SETOP",VLOOKUP(B4309,#REF!,2,0),IF(A4309="COTAÇÃO",VLOOKUP(B4309,'Mapa Cotações'!$A:$N,2,0))))))))</f>
        <v/>
      </c>
      <c r="D4309" s="89" t="str">
        <f>IF(B4309="","",IF($A$8="NÃO DESONERADO",(IF(A4309="SINAPI",VLOOKUP(B4309,#REF!,3,0),IF(A4309="SUDECAP",VLOOKUP(B4309,#REF!,4,0),IF(A4309="SETOP",VLOOKUP(B4309,#REF!,3,0),IF(A4309="COTAÇÃO",VLOOKUP(B4309,'Mapa Cotações'!$A:$N,3,0)))))),(IF(A4309="SINAPI",VLOOKUP(B4309,#REF!,3,0),IF(A4309="SUDECAP",VLOOKUP(B4309,#REF!,4,0),IF(A4309="SETOP",VLOOKUP(B4309,#REF!,3,0),IF(A4309="COTAÇÃO",VLOOKUP(B4309,'Mapa Cotações'!$A:$N,3,0))))))))</f>
        <v/>
      </c>
      <c r="E4309" s="88"/>
      <c r="F4309" s="89" t="str">
        <f>IF(B4309="","",IF($A$8="NÃO DESONERADO",(IF(A4309="SINAPI",VLOOKUP(B4309,#REF!,4,0),IF(A4309="SUDECAP",VLOOKUP(B4309,#REF!,5,0),IF(A4309="SETOP",VLOOKUP(B4309,#REF!,4,0),IF(A4309="COTAÇÃO",VLOOKUP(B4309,'Mapa Cotações'!$A:$N,13,0)))))),(IF(A4309="SINAPI",VLOOKUP(B4309,#REF!,4,0),IF(A4309="SUDECAP",VLOOKUP(B4309,#REF!,5,0),IF(A4309="SETOP",VLOOKUP(B4309,#REF!,4,0),IF(A4309="COTAÇÃO",VLOOKUP(B4309,'Mapa Cotações'!$A:$N,13,0))))))))</f>
        <v/>
      </c>
      <c r="G4309" s="89" t="str">
        <f>IF(D4309="","",E4309*F4309)</f>
        <v/>
      </c>
    </row>
    <row r="4310" spans="1:11">
      <c r="A4310" s="832" t="s">
        <v>1908</v>
      </c>
      <c r="B4310" s="833"/>
      <c r="C4310" s="833"/>
      <c r="D4310" s="833"/>
      <c r="E4310" s="833"/>
      <c r="F4310" s="834"/>
      <c r="G4310" s="90">
        <f>IF(F4308="","",(SUM(G4308:G4309)))</f>
        <v>3702.2</v>
      </c>
    </row>
    <row r="4311" spans="1:11">
      <c r="A4311" s="91"/>
      <c r="B4311" s="92"/>
      <c r="C4311" s="161"/>
      <c r="D4311" s="93"/>
      <c r="E4311" s="94"/>
      <c r="F4311" s="95"/>
      <c r="G4311" s="96"/>
    </row>
    <row r="4312" spans="1:11">
      <c r="A4312" s="835" t="s">
        <v>1909</v>
      </c>
      <c r="B4312" s="836"/>
      <c r="C4312" s="836"/>
      <c r="D4312" s="836"/>
      <c r="E4312" s="836"/>
      <c r="F4312" s="836"/>
      <c r="G4312" s="837"/>
    </row>
    <row r="4313" spans="1:11">
      <c r="A4313" s="84" t="s">
        <v>1903</v>
      </c>
      <c r="B4313" s="84" t="s">
        <v>131</v>
      </c>
      <c r="C4313" s="160" t="s">
        <v>1904</v>
      </c>
      <c r="D4313" s="84" t="s">
        <v>167</v>
      </c>
      <c r="E4313" s="85" t="s">
        <v>1905</v>
      </c>
      <c r="F4313" s="86" t="s">
        <v>1906</v>
      </c>
      <c r="G4313" s="86" t="s">
        <v>1907</v>
      </c>
    </row>
    <row r="4314" spans="1:11" ht="24">
      <c r="A4314" s="636" t="s">
        <v>2</v>
      </c>
      <c r="B4314" s="636">
        <v>88243</v>
      </c>
      <c r="C4314" s="661" t="s">
        <v>2100</v>
      </c>
      <c r="D4314" s="638" t="s">
        <v>137</v>
      </c>
      <c r="E4314" s="637">
        <v>0.8</v>
      </c>
      <c r="F4314" s="638">
        <v>24.36</v>
      </c>
      <c r="G4314" s="638">
        <f>IF(D4314="","",E4314*F4314)</f>
        <v>19.488</v>
      </c>
    </row>
    <row r="4315" spans="1:11" ht="24">
      <c r="A4315" s="636" t="s">
        <v>2</v>
      </c>
      <c r="B4315" s="636">
        <v>100308</v>
      </c>
      <c r="C4315" s="661" t="s">
        <v>1936</v>
      </c>
      <c r="D4315" s="638" t="s">
        <v>137</v>
      </c>
      <c r="E4315" s="637">
        <v>0.8</v>
      </c>
      <c r="F4315" s="638">
        <v>25.97</v>
      </c>
      <c r="G4315" s="638">
        <f>IF(D4315="","",E4315*F4315)</f>
        <v>20.776</v>
      </c>
    </row>
    <row r="4316" spans="1:11">
      <c r="A4316" s="832" t="s">
        <v>1908</v>
      </c>
      <c r="B4316" s="833"/>
      <c r="C4316" s="833"/>
      <c r="D4316" s="833"/>
      <c r="E4316" s="833"/>
      <c r="F4316" s="834"/>
      <c r="G4316" s="90">
        <f>IF(F4314="","",(SUM(G4314:G4315)))</f>
        <v>40.263999999999996</v>
      </c>
    </row>
    <row r="4317" spans="1:11">
      <c r="A4317" s="91"/>
      <c r="B4317" s="92"/>
      <c r="C4317" s="162"/>
      <c r="D4317" s="92"/>
      <c r="E4317" s="97"/>
      <c r="F4317" s="98"/>
      <c r="G4317" s="96"/>
    </row>
    <row r="4318" spans="1:11">
      <c r="A4318" s="835" t="s">
        <v>1912</v>
      </c>
      <c r="B4318" s="836"/>
      <c r="C4318" s="836"/>
      <c r="D4318" s="836"/>
      <c r="E4318" s="836"/>
      <c r="F4318" s="836"/>
      <c r="G4318" s="837"/>
    </row>
    <row r="4319" spans="1:11">
      <c r="A4319" s="84" t="s">
        <v>1903</v>
      </c>
      <c r="B4319" s="84" t="s">
        <v>131</v>
      </c>
      <c r="C4319" s="160" t="s">
        <v>1904</v>
      </c>
      <c r="D4319" s="84" t="s">
        <v>167</v>
      </c>
      <c r="E4319" s="85" t="s">
        <v>1905</v>
      </c>
      <c r="F4319" s="86" t="s">
        <v>1906</v>
      </c>
      <c r="G4319" s="86" t="s">
        <v>1907</v>
      </c>
    </row>
    <row r="4320" spans="1:11">
      <c r="A4320" s="87"/>
      <c r="B4320" s="87"/>
      <c r="C4320" s="278" t="str">
        <f>IF(B4320="","",IF($A$8="NÃO DESONERADO",(IF(A4320="SINAPI",VLOOKUP(B4320,#REF!,2,0),IF(A4320="SUDECAP",VLOOKUP(B4320,#REF!,3,0),IF(A4320="SETOP",VLOOKUP(B4320,#REF!,2,0),IF(A4320="COTAÇÃO",VLOOKUP(B4320,'Mapa Cotações'!$A:$N,2,0)))))),(IF(A4320="SINAPI",VLOOKUP(B4320,#REF!,2,0),IF(A4320="SUDECAP",VLOOKUP(B4320,#REF!,3,0),IF(A4320="SETOP",VLOOKUP(B4320,#REF!,2,0),IF(A4320="COTAÇÃO",VLOOKUP(B4320,'Mapa Cotações'!$A:$N,2,0))))))))</f>
        <v/>
      </c>
      <c r="D4320" s="89" t="str">
        <f>IF(B4320="","",IF($A$8="NÃO DESONERADO",(IF(A4320="SINAPI",VLOOKUP(B4320,#REF!,3,0),IF(A4320="SUDECAP",VLOOKUP(B4320,#REF!,4,0),IF(A4320="SETOP",VLOOKUP(B4320,#REF!,3,0),IF(A4320="COTAÇÃO",VLOOKUP(B4320,'Mapa Cotações'!$A:$N,3,0)))))),(IF(A4320="SINAPI",VLOOKUP(B4320,#REF!,3,0),IF(A4320="SUDECAP",VLOOKUP(B4320,#REF!,4,0),IF(A4320="SETOP",VLOOKUP(B4320,#REF!,3,0),IF(A4320="COTAÇÃO",VLOOKUP(B4320,'Mapa Cotações'!$A:$N,3,0))))))))</f>
        <v/>
      </c>
      <c r="E4320" s="88"/>
      <c r="F4320" s="89" t="str">
        <f>IF(B4320="","",IF($A$8="NÃO DESONERADO",(IF(A4320="SINAPI",VLOOKUP(B4320,#REF!,4,0),IF(A4320="SUDECAP",VLOOKUP(B4320,#REF!,5,0),IF(A4320="SETOP",VLOOKUP(B4320,#REF!,4,0),IF(A4320="COTAÇÃO",VLOOKUP(B4320,'Mapa Cotações'!$A:$N,13,0)))))),(IF(A4320="SINAPI",VLOOKUP(B4320,#REF!,4,0),IF(A4320="SUDECAP",VLOOKUP(B4320,#REF!,5,0),IF(A4320="SETOP",VLOOKUP(B4320,#REF!,4,0),IF(A4320="COTAÇÃO",VLOOKUP(B4320,'Mapa Cotações'!$A:$N,13,0))))))))</f>
        <v/>
      </c>
      <c r="G4320" s="89" t="str">
        <f>IF(D4320="","",E4320*F4320)</f>
        <v/>
      </c>
    </row>
    <row r="4321" spans="1:7">
      <c r="A4321" s="87"/>
      <c r="B4321" s="87"/>
      <c r="C4321" s="278" t="str">
        <f>IF(B4321="","",IF($A$8="NÃO DESONERADO",(IF(A4321="SINAPI",VLOOKUP(B4321,#REF!,2,0),IF(A4321="SUDECAP",VLOOKUP(B4321,#REF!,3,0),IF(A4321="SETOP",VLOOKUP(B4321,#REF!,2,0),IF(A4321="COTAÇÃO",VLOOKUP(B4321,'Mapa Cotações'!$A:$N,2,0)))))),(IF(A4321="SINAPI",VLOOKUP(B4321,#REF!,2,0),IF(A4321="SUDECAP",VLOOKUP(B4321,#REF!,3,0),IF(A4321="SETOP",VLOOKUP(B4321,#REF!,2,0),IF(A4321="COTAÇÃO",VLOOKUP(B4321,'Mapa Cotações'!$A:$N,2,0))))))))</f>
        <v/>
      </c>
      <c r="D4321" s="89" t="str">
        <f>IF(B4321="","",IF($A$8="NÃO DESONERADO",(IF(A4321="SINAPI",VLOOKUP(B4321,#REF!,3,0),IF(A4321="SUDECAP",VLOOKUP(B4321,#REF!,4,0),IF(A4321="SETOP",VLOOKUP(B4321,#REF!,3,0),IF(A4321="COTAÇÃO",VLOOKUP(B4321,'Mapa Cotações'!$A:$N,3,0)))))),(IF(A4321="SINAPI",VLOOKUP(B4321,#REF!,3,0),IF(A4321="SUDECAP",VLOOKUP(B4321,#REF!,4,0),IF(A4321="SETOP",VLOOKUP(B4321,#REF!,3,0),IF(A4321="COTAÇÃO",VLOOKUP(B4321,'Mapa Cotações'!$A:$N,3,0))))))))</f>
        <v/>
      </c>
      <c r="E4321" s="88"/>
      <c r="F4321" s="89" t="str">
        <f>IF(B4321="","",IF($A$8="NÃO DESONERADO",(IF(A4321="SINAPI",VLOOKUP(B4321,#REF!,4,0),IF(A4321="SUDECAP",VLOOKUP(B4321,#REF!,5,0),IF(A4321="SETOP",VLOOKUP(B4321,#REF!,4,0),IF(A4321="COTAÇÃO",VLOOKUP(B4321,'Mapa Cotações'!$A:$N,13,0)))))),(IF(A4321="SINAPI",VLOOKUP(B4321,#REF!,4,0),IF(A4321="SUDECAP",VLOOKUP(B4321,#REF!,5,0),IF(A4321="SETOP",VLOOKUP(B4321,#REF!,4,0),IF(A4321="COTAÇÃO",VLOOKUP(B4321,'Mapa Cotações'!$A:$N,13,0))))))))</f>
        <v/>
      </c>
      <c r="G4321" s="89" t="str">
        <f>IF(D4321="","",E4321*F4321)</f>
        <v/>
      </c>
    </row>
    <row r="4322" spans="1:7">
      <c r="A4322" s="832" t="s">
        <v>1908</v>
      </c>
      <c r="B4322" s="833" t="s">
        <v>1908</v>
      </c>
      <c r="C4322" s="833"/>
      <c r="D4322" s="833"/>
      <c r="E4322" s="833"/>
      <c r="F4322" s="834"/>
      <c r="G4322" s="90" t="str">
        <f>IF(F4320="","",(SUM(G4320:G4321)))</f>
        <v/>
      </c>
    </row>
    <row r="4323" spans="1:7" ht="13.5" thickBot="1">
      <c r="A4323" s="91"/>
      <c r="B4323" s="92"/>
      <c r="C4323" s="163"/>
      <c r="D4323" s="99"/>
      <c r="E4323" s="100"/>
      <c r="F4323" s="101"/>
      <c r="G4323" s="102"/>
    </row>
    <row r="4324" spans="1:7" ht="13.5" thickBot="1">
      <c r="A4324" s="838" t="s">
        <v>1259</v>
      </c>
      <c r="B4324" s="839"/>
      <c r="C4324" s="839"/>
      <c r="D4324" s="839"/>
      <c r="E4324" s="839"/>
      <c r="F4324" s="840"/>
      <c r="G4324" s="103">
        <f>SUM(G4310,G4316,G4322)</f>
        <v>3742.4639999999999</v>
      </c>
    </row>
    <row r="4325" spans="1:7" hidden="1"/>
    <row r="4326" spans="1:7" hidden="1">
      <c r="A4326" s="660"/>
      <c r="B4326" s="653"/>
      <c r="C4326" s="815"/>
      <c r="D4326" s="815"/>
      <c r="E4326" s="815"/>
      <c r="F4326" s="815"/>
      <c r="G4326" s="632"/>
    </row>
    <row r="4327" spans="1:7" hidden="1">
      <c r="A4327" s="179"/>
      <c r="B4327" s="82"/>
      <c r="C4327" s="816"/>
      <c r="D4327" s="817"/>
      <c r="E4327" s="817"/>
      <c r="F4327" s="186"/>
      <c r="G4327" s="83"/>
    </row>
    <row r="4328" spans="1:7" hidden="1">
      <c r="A4328" s="818"/>
      <c r="B4328" s="819"/>
      <c r="C4328" s="819"/>
      <c r="D4328" s="819"/>
      <c r="E4328" s="819"/>
      <c r="F4328" s="819"/>
      <c r="G4328" s="820"/>
    </row>
    <row r="4329" spans="1:7" hidden="1">
      <c r="A4329" s="633"/>
      <c r="B4329" s="633"/>
      <c r="C4329" s="649"/>
      <c r="D4329" s="633"/>
      <c r="E4329" s="634"/>
      <c r="F4329" s="635"/>
      <c r="G4329" s="635"/>
    </row>
    <row r="4330" spans="1:7" hidden="1">
      <c r="A4330" s="636"/>
      <c r="B4330" s="187"/>
      <c r="C4330" s="662"/>
      <c r="D4330" s="638"/>
      <c r="E4330" s="637"/>
      <c r="F4330" s="638"/>
      <c r="G4330" s="638"/>
    </row>
    <row r="4331" spans="1:7" hidden="1">
      <c r="A4331" s="636"/>
      <c r="B4331" s="636"/>
      <c r="C4331" s="661"/>
      <c r="D4331" s="638"/>
      <c r="E4331" s="637"/>
      <c r="F4331" s="638"/>
      <c r="G4331" s="638"/>
    </row>
    <row r="4332" spans="1:7" hidden="1">
      <c r="A4332" s="821"/>
      <c r="B4332" s="822"/>
      <c r="C4332" s="822"/>
      <c r="D4332" s="822"/>
      <c r="E4332" s="822"/>
      <c r="F4332" s="823"/>
      <c r="G4332" s="613"/>
    </row>
    <row r="4333" spans="1:7" hidden="1">
      <c r="A4333" s="639"/>
      <c r="B4333" s="640"/>
      <c r="C4333" s="161"/>
      <c r="D4333" s="93"/>
      <c r="E4333" s="94"/>
      <c r="F4333" s="95"/>
      <c r="G4333" s="641"/>
    </row>
    <row r="4334" spans="1:7" hidden="1">
      <c r="A4334" s="824"/>
      <c r="B4334" s="825"/>
      <c r="C4334" s="825"/>
      <c r="D4334" s="825"/>
      <c r="E4334" s="825"/>
      <c r="F4334" s="825"/>
      <c r="G4334" s="826"/>
    </row>
    <row r="4335" spans="1:7" hidden="1">
      <c r="A4335" s="633"/>
      <c r="B4335" s="633"/>
      <c r="C4335" s="649"/>
      <c r="D4335" s="633"/>
      <c r="E4335" s="634"/>
      <c r="F4335" s="635"/>
      <c r="G4335" s="635"/>
    </row>
    <row r="4336" spans="1:7" hidden="1">
      <c r="A4336" s="636"/>
      <c r="B4336" s="636"/>
      <c r="C4336" s="661"/>
      <c r="D4336" s="638"/>
      <c r="E4336" s="637"/>
      <c r="F4336" s="638"/>
      <c r="G4336" s="638"/>
    </row>
    <row r="4337" spans="1:11" hidden="1">
      <c r="A4337" s="636"/>
      <c r="B4337" s="636"/>
      <c r="C4337" s="661"/>
      <c r="D4337" s="638"/>
      <c r="E4337" s="637"/>
      <c r="F4337" s="638"/>
      <c r="G4337" s="638"/>
    </row>
    <row r="4338" spans="1:11" hidden="1">
      <c r="A4338" s="821"/>
      <c r="B4338" s="822"/>
      <c r="C4338" s="822"/>
      <c r="D4338" s="822"/>
      <c r="E4338" s="822"/>
      <c r="F4338" s="823"/>
      <c r="G4338" s="613"/>
    </row>
    <row r="4339" spans="1:11" hidden="1">
      <c r="A4339" s="639"/>
      <c r="B4339" s="640"/>
      <c r="C4339" s="650"/>
      <c r="D4339" s="640"/>
      <c r="E4339" s="642"/>
      <c r="F4339" s="643"/>
      <c r="G4339" s="641"/>
    </row>
    <row r="4340" spans="1:11" hidden="1">
      <c r="A4340" s="824"/>
      <c r="B4340" s="825"/>
      <c r="C4340" s="825"/>
      <c r="D4340" s="825"/>
      <c r="E4340" s="825"/>
      <c r="F4340" s="825"/>
      <c r="G4340" s="826"/>
    </row>
    <row r="4341" spans="1:11" hidden="1">
      <c r="A4341" s="633"/>
      <c r="B4341" s="633"/>
      <c r="C4341" s="649"/>
      <c r="D4341" s="633"/>
      <c r="E4341" s="634"/>
      <c r="F4341" s="635"/>
      <c r="G4341" s="635"/>
    </row>
    <row r="4342" spans="1:11" hidden="1">
      <c r="A4342" s="636"/>
      <c r="B4342" s="636"/>
      <c r="C4342" s="661"/>
      <c r="D4342" s="638"/>
      <c r="E4342" s="637"/>
      <c r="F4342" s="638"/>
      <c r="G4342" s="638"/>
    </row>
    <row r="4343" spans="1:11" hidden="1">
      <c r="A4343" s="636"/>
      <c r="B4343" s="636"/>
      <c r="C4343" s="661"/>
      <c r="D4343" s="638"/>
      <c r="E4343" s="637"/>
      <c r="F4343" s="638"/>
      <c r="G4343" s="638"/>
    </row>
    <row r="4344" spans="1:11" hidden="1">
      <c r="A4344" s="821"/>
      <c r="B4344" s="822"/>
      <c r="C4344" s="822"/>
      <c r="D4344" s="822"/>
      <c r="E4344" s="822"/>
      <c r="F4344" s="823"/>
      <c r="G4344" s="613"/>
    </row>
    <row r="4345" spans="1:11" ht="13.5" hidden="1" thickBot="1">
      <c r="A4345" s="639"/>
      <c r="B4345" s="640"/>
      <c r="C4345" s="651"/>
      <c r="D4345" s="644"/>
      <c r="E4345" s="645"/>
      <c r="F4345" s="646"/>
      <c r="G4345" s="647"/>
    </row>
    <row r="4346" spans="1:11" ht="13.5" hidden="1" thickBot="1">
      <c r="A4346" s="827"/>
      <c r="B4346" s="828"/>
      <c r="C4346" s="828"/>
      <c r="D4346" s="828"/>
      <c r="E4346" s="828"/>
      <c r="F4346" s="829"/>
      <c r="G4346" s="103"/>
    </row>
    <row r="4349" spans="1:11">
      <c r="A4349" s="237" t="s">
        <v>131</v>
      </c>
      <c r="B4349" s="190" t="s">
        <v>27</v>
      </c>
      <c r="C4349" s="841" t="s">
        <v>1281</v>
      </c>
      <c r="D4349" s="841"/>
      <c r="E4349" s="841"/>
      <c r="F4349" s="841"/>
      <c r="G4349" s="81" t="s">
        <v>127</v>
      </c>
      <c r="I4349" s="480" t="s">
        <v>1901</v>
      </c>
      <c r="J4349" s="80"/>
      <c r="K4349" s="80"/>
    </row>
    <row r="4350" spans="1:11" ht="39.950000000000003" customHeight="1">
      <c r="A4350" s="179" t="s">
        <v>1146</v>
      </c>
      <c r="B4350" s="82"/>
      <c r="C4350" s="816" t="s">
        <v>3069</v>
      </c>
      <c r="D4350" s="817"/>
      <c r="E4350" s="817"/>
      <c r="F4350" s="186">
        <f>G4369</f>
        <v>7540.33</v>
      </c>
      <c r="G4350" s="83" t="s">
        <v>167</v>
      </c>
      <c r="I4350" s="481"/>
      <c r="J4350" s="272"/>
      <c r="K4350" s="272"/>
    </row>
    <row r="4351" spans="1:11">
      <c r="A4351" s="818" t="s">
        <v>1902</v>
      </c>
      <c r="B4351" s="819"/>
      <c r="C4351" s="819"/>
      <c r="D4351" s="819"/>
      <c r="E4351" s="819"/>
      <c r="F4351" s="819"/>
      <c r="G4351" s="820"/>
    </row>
    <row r="4352" spans="1:11">
      <c r="A4352" s="84" t="s">
        <v>1903</v>
      </c>
      <c r="B4352" s="84" t="s">
        <v>131</v>
      </c>
      <c r="C4352" s="160" t="s">
        <v>1904</v>
      </c>
      <c r="D4352" s="84" t="s">
        <v>167</v>
      </c>
      <c r="E4352" s="85" t="s">
        <v>1905</v>
      </c>
      <c r="F4352" s="86" t="s">
        <v>1906</v>
      </c>
      <c r="G4352" s="86" t="s">
        <v>1907</v>
      </c>
    </row>
    <row r="4353" spans="1:7" ht="35.1" customHeight="1">
      <c r="A4353" s="87" t="s">
        <v>1917</v>
      </c>
      <c r="B4353" s="187" t="s">
        <v>2147</v>
      </c>
      <c r="C4353" s="475" t="str">
        <f>IF(B4353="","",IF($A$8="NÃO DESONERADO",(IF(A4353="SINAPI",VLOOKUP(B4353,#REF!,2,0),IF(A4353="SUDECAP",VLOOKUP(B4353,#REF!,3,0),IF(A4353="SETOP",VLOOKUP(B4353,#REF!,2,0),IF(A4353="COTAÇÃO",VLOOKUP(B4353,'Mapa Cotações'!$A:$N,2,0)))))),(IF(A4353="SINAPI",VLOOKUP(B4353,#REF!,2,0),IF(A4353="SUDECAP",VLOOKUP(B4353,#REF!,3,0),IF(A4353="SETOP",VLOOKUP(B4353,#REF!,2,0),IF(A4353="COTAÇÃO",VLOOKUP(B4353,'Mapa Cotações'!$A:$N,2,0))))))))</f>
        <v xml:space="preserve">ATENUADOR DE RUÍDO COM CARCAÇA E CÉLULAS DE CHAPA GALVANIZADA, COM MATERIAL DE ABSORÇÃO EM LÂ MINERAL REVESTIDO COM TELA DE VIDRO. MODELO KS-200 - ATR-10
VAZÃO DE AR  =9570 M3/H
PERDA DE CARGA =51 PA
VELOCIDADE NA CÉLULA  = 10,6 M3/H / LW (DB(A)=45 / NÚMERO DE CÉLULAS =4
LARGURA/ALTURA/COMPRIMENTO = 1300/500/1000 MM / PESO = 72 KG
FREQUENCIA/ATENUAÇÃO  -    63HZ/3   125/9   250/17  500/17  1000/21  2000/16  4000/12  8000/11   
REF.:BERLINER LUFT OU EQUIVALENTE    </v>
      </c>
      <c r="D4353" s="89" t="str">
        <f>IF(B4353="","",IF($A$8="NÃO DESONERADO",(IF(A4353="SINAPI",VLOOKUP(B4353,#REF!,3,0),IF(A4353="SUDECAP",VLOOKUP(B4353,#REF!,4,0),IF(A4353="SETOP",VLOOKUP(B4353,#REF!,3,0),IF(A4353="COTAÇÃO",VLOOKUP(B4353,'Mapa Cotações'!$A:$N,3,0)))))),(IF(A4353="SINAPI",VLOOKUP(B4353,#REF!,3,0),IF(A4353="SUDECAP",VLOOKUP(B4353,#REF!,4,0),IF(A4353="SETOP",VLOOKUP(B4353,#REF!,3,0),IF(A4353="COTAÇÃO",VLOOKUP(B4353,'Mapa Cotações'!$A:$N,3,0))))))))</f>
        <v>UN</v>
      </c>
      <c r="E4353" s="88">
        <v>1</v>
      </c>
      <c r="F4353" s="89">
        <f>IF(B4353="","",IF($A$8="NÃO DESONERADO",(IF(A4353="SINAPI",VLOOKUP(B4353,#REF!,4,0),IF(A4353="SUDECAP",VLOOKUP(B4353,#REF!,5,0),IF(A4353="SETOP",VLOOKUP(B4353,#REF!,4,0),IF(A4353="COTAÇÃO",VLOOKUP(B4353,'Mapa Cotações'!$A:$N,13,0)))))),(IF(A4353="SINAPI",VLOOKUP(B4353,#REF!,4,0),IF(A4353="SUDECAP",VLOOKUP(B4353,#REF!,5,0),IF(A4353="SETOP",VLOOKUP(B4353,#REF!,4,0),IF(A4353="COTAÇÃO",VLOOKUP(B4353,'Mapa Cotações'!$A:$N,13,0))))))))</f>
        <v>7490</v>
      </c>
      <c r="G4353" s="89">
        <f>IF(D4353="","",E4353*F4353)</f>
        <v>7490</v>
      </c>
    </row>
    <row r="4354" spans="1:7">
      <c r="A4354" s="87"/>
      <c r="B4354" s="87"/>
      <c r="C4354" s="278" t="str">
        <f>IF(B4354="","",IF($A$8="NÃO DESONERADO",(IF(A4354="SINAPI",VLOOKUP(B4354,#REF!,2,0),IF(A4354="SUDECAP",VLOOKUP(B4354,#REF!,3,0),IF(A4354="SETOP",VLOOKUP(B4354,#REF!,2,0),IF(A4354="COTAÇÃO",VLOOKUP(B4354,'Mapa Cotações'!$A:$N,2,0)))))),(IF(A4354="SINAPI",VLOOKUP(B4354,#REF!,2,0),IF(A4354="SUDECAP",VLOOKUP(B4354,#REF!,3,0),IF(A4354="SETOP",VLOOKUP(B4354,#REF!,2,0),IF(A4354="COTAÇÃO",VLOOKUP(B4354,'Mapa Cotações'!$A:$N,2,0))))))))</f>
        <v/>
      </c>
      <c r="D4354" s="89" t="str">
        <f>IF(B4354="","",IF($A$8="NÃO DESONERADO",(IF(A4354="SINAPI",VLOOKUP(B4354,#REF!,3,0),IF(A4354="SUDECAP",VLOOKUP(B4354,#REF!,4,0),IF(A4354="SETOP",VLOOKUP(B4354,#REF!,3,0),IF(A4354="COTAÇÃO",VLOOKUP(B4354,'Mapa Cotações'!$A:$N,3,0)))))),(IF(A4354="SINAPI",VLOOKUP(B4354,#REF!,3,0),IF(A4354="SUDECAP",VLOOKUP(B4354,#REF!,4,0),IF(A4354="SETOP",VLOOKUP(B4354,#REF!,3,0),IF(A4354="COTAÇÃO",VLOOKUP(B4354,'Mapa Cotações'!$A:$N,3,0))))))))</f>
        <v/>
      </c>
      <c r="E4354" s="88"/>
      <c r="F4354" s="89" t="str">
        <f>IF(B4354="","",IF($A$8="NÃO DESONERADO",(IF(A4354="SINAPI",VLOOKUP(B4354,#REF!,4,0),IF(A4354="SUDECAP",VLOOKUP(B4354,#REF!,5,0),IF(A4354="SETOP",VLOOKUP(B4354,#REF!,4,0),IF(A4354="COTAÇÃO",VLOOKUP(B4354,'Mapa Cotações'!$A:$N,13,0)))))),(IF(A4354="SINAPI",VLOOKUP(B4354,#REF!,4,0),IF(A4354="SUDECAP",VLOOKUP(B4354,#REF!,5,0),IF(A4354="SETOP",VLOOKUP(B4354,#REF!,4,0),IF(A4354="COTAÇÃO",VLOOKUP(B4354,'Mapa Cotações'!$A:$N,13,0))))))))</f>
        <v/>
      </c>
      <c r="G4354" s="89" t="str">
        <f>IF(D4354="","",E4354*F4354)</f>
        <v/>
      </c>
    </row>
    <row r="4355" spans="1:7">
      <c r="A4355" s="832" t="s">
        <v>1908</v>
      </c>
      <c r="B4355" s="833"/>
      <c r="C4355" s="833"/>
      <c r="D4355" s="833"/>
      <c r="E4355" s="833"/>
      <c r="F4355" s="834"/>
      <c r="G4355" s="90">
        <f>IF(F4353="","",(SUM(G4353:G4354)))</f>
        <v>7490</v>
      </c>
    </row>
    <row r="4356" spans="1:7">
      <c r="A4356" s="91"/>
      <c r="B4356" s="92"/>
      <c r="C4356" s="161"/>
      <c r="D4356" s="93"/>
      <c r="E4356" s="94"/>
      <c r="F4356" s="95"/>
      <c r="G4356" s="96"/>
    </row>
    <row r="4357" spans="1:7">
      <c r="A4357" s="835" t="s">
        <v>1909</v>
      </c>
      <c r="B4357" s="836"/>
      <c r="C4357" s="836"/>
      <c r="D4357" s="836"/>
      <c r="E4357" s="836"/>
      <c r="F4357" s="836"/>
      <c r="G4357" s="837"/>
    </row>
    <row r="4358" spans="1:7">
      <c r="A4358" s="84" t="s">
        <v>1903</v>
      </c>
      <c r="B4358" s="84" t="s">
        <v>131</v>
      </c>
      <c r="C4358" s="160" t="s">
        <v>1904</v>
      </c>
      <c r="D4358" s="84" t="s">
        <v>167</v>
      </c>
      <c r="E4358" s="85" t="s">
        <v>1905</v>
      </c>
      <c r="F4358" s="86" t="s">
        <v>1906</v>
      </c>
      <c r="G4358" s="86" t="s">
        <v>1907</v>
      </c>
    </row>
    <row r="4359" spans="1:7" ht="24">
      <c r="A4359" s="636" t="s">
        <v>2</v>
      </c>
      <c r="B4359" s="636">
        <v>88243</v>
      </c>
      <c r="C4359" s="661" t="s">
        <v>2100</v>
      </c>
      <c r="D4359" s="638" t="s">
        <v>137</v>
      </c>
      <c r="E4359" s="637">
        <v>1</v>
      </c>
      <c r="F4359" s="638">
        <v>24.36</v>
      </c>
      <c r="G4359" s="638">
        <f>IF(D4359="","",E4359*F4359)</f>
        <v>24.36</v>
      </c>
    </row>
    <row r="4360" spans="1:7" ht="24">
      <c r="A4360" s="636" t="s">
        <v>2</v>
      </c>
      <c r="B4360" s="636">
        <v>100308</v>
      </c>
      <c r="C4360" s="661" t="s">
        <v>1936</v>
      </c>
      <c r="D4360" s="638" t="s">
        <v>137</v>
      </c>
      <c r="E4360" s="637">
        <v>1</v>
      </c>
      <c r="F4360" s="638">
        <v>25.97</v>
      </c>
      <c r="G4360" s="638">
        <f>IF(D4360="","",E4360*F4360)</f>
        <v>25.97</v>
      </c>
    </row>
    <row r="4361" spans="1:7">
      <c r="A4361" s="832" t="s">
        <v>1908</v>
      </c>
      <c r="B4361" s="833"/>
      <c r="C4361" s="833"/>
      <c r="D4361" s="833"/>
      <c r="E4361" s="833"/>
      <c r="F4361" s="834"/>
      <c r="G4361" s="90">
        <f>IF(F4359="","",(SUM(G4359:G4360)))</f>
        <v>50.33</v>
      </c>
    </row>
    <row r="4362" spans="1:7">
      <c r="A4362" s="91"/>
      <c r="B4362" s="92"/>
      <c r="C4362" s="162"/>
      <c r="D4362" s="92"/>
      <c r="E4362" s="97"/>
      <c r="F4362" s="98"/>
      <c r="G4362" s="96"/>
    </row>
    <row r="4363" spans="1:7">
      <c r="A4363" s="835" t="s">
        <v>1912</v>
      </c>
      <c r="B4363" s="836"/>
      <c r="C4363" s="836"/>
      <c r="D4363" s="836"/>
      <c r="E4363" s="836"/>
      <c r="F4363" s="836"/>
      <c r="G4363" s="837"/>
    </row>
    <row r="4364" spans="1:7">
      <c r="A4364" s="84" t="s">
        <v>1903</v>
      </c>
      <c r="B4364" s="84" t="s">
        <v>131</v>
      </c>
      <c r="C4364" s="160" t="s">
        <v>1904</v>
      </c>
      <c r="D4364" s="84" t="s">
        <v>167</v>
      </c>
      <c r="E4364" s="85" t="s">
        <v>1905</v>
      </c>
      <c r="F4364" s="86" t="s">
        <v>1906</v>
      </c>
      <c r="G4364" s="86" t="s">
        <v>1907</v>
      </c>
    </row>
    <row r="4365" spans="1:7">
      <c r="A4365" s="87"/>
      <c r="B4365" s="87"/>
      <c r="C4365" s="278" t="str">
        <f>IF(B4365="","",IF($A$8="NÃO DESONERADO",(IF(A4365="SINAPI",VLOOKUP(B4365,#REF!,2,0),IF(A4365="SUDECAP",VLOOKUP(B4365,#REF!,3,0),IF(A4365="SETOP",VLOOKUP(B4365,#REF!,2,0),IF(A4365="COTAÇÃO",VLOOKUP(B4365,'Mapa Cotações'!$A:$N,2,0)))))),(IF(A4365="SINAPI",VLOOKUP(B4365,#REF!,2,0),IF(A4365="SUDECAP",VLOOKUP(B4365,#REF!,3,0),IF(A4365="SETOP",VLOOKUP(B4365,#REF!,2,0),IF(A4365="COTAÇÃO",VLOOKUP(B4365,'Mapa Cotações'!$A:$N,2,0))))))))</f>
        <v/>
      </c>
      <c r="D4365" s="89" t="str">
        <f>IF(B4365="","",IF($A$8="NÃO DESONERADO",(IF(A4365="SINAPI",VLOOKUP(B4365,#REF!,3,0),IF(A4365="SUDECAP",VLOOKUP(B4365,#REF!,4,0),IF(A4365="SETOP",VLOOKUP(B4365,#REF!,3,0),IF(A4365="COTAÇÃO",VLOOKUP(B4365,'Mapa Cotações'!$A:$N,3,0)))))),(IF(A4365="SINAPI",VLOOKUP(B4365,#REF!,3,0),IF(A4365="SUDECAP",VLOOKUP(B4365,#REF!,4,0),IF(A4365="SETOP",VLOOKUP(B4365,#REF!,3,0),IF(A4365="COTAÇÃO",VLOOKUP(B4365,'Mapa Cotações'!$A:$N,3,0))))))))</f>
        <v/>
      </c>
      <c r="E4365" s="88"/>
      <c r="F4365" s="89" t="str">
        <f>IF(B4365="","",IF($A$8="NÃO DESONERADO",(IF(A4365="SINAPI",VLOOKUP(B4365,#REF!,4,0),IF(A4365="SUDECAP",VLOOKUP(B4365,#REF!,5,0),IF(A4365="SETOP",VLOOKUP(B4365,#REF!,4,0),IF(A4365="COTAÇÃO",VLOOKUP(B4365,'Mapa Cotações'!$A:$N,13,0)))))),(IF(A4365="SINAPI",VLOOKUP(B4365,#REF!,4,0),IF(A4365="SUDECAP",VLOOKUP(B4365,#REF!,5,0),IF(A4365="SETOP",VLOOKUP(B4365,#REF!,4,0),IF(A4365="COTAÇÃO",VLOOKUP(B4365,'Mapa Cotações'!$A:$N,13,0))))))))</f>
        <v/>
      </c>
      <c r="G4365" s="89" t="str">
        <f>IF(D4365="","",E4365*F4365)</f>
        <v/>
      </c>
    </row>
    <row r="4366" spans="1:7">
      <c r="A4366" s="87"/>
      <c r="B4366" s="87"/>
      <c r="C4366" s="278" t="str">
        <f>IF(B4366="","",IF($A$8="NÃO DESONERADO",(IF(A4366="SINAPI",VLOOKUP(B4366,#REF!,2,0),IF(A4366="SUDECAP",VLOOKUP(B4366,#REF!,3,0),IF(A4366="SETOP",VLOOKUP(B4366,#REF!,2,0),IF(A4366="COTAÇÃO",VLOOKUP(B4366,'Mapa Cotações'!$A:$N,2,0)))))),(IF(A4366="SINAPI",VLOOKUP(B4366,#REF!,2,0),IF(A4366="SUDECAP",VLOOKUP(B4366,#REF!,3,0),IF(A4366="SETOP",VLOOKUP(B4366,#REF!,2,0),IF(A4366="COTAÇÃO",VLOOKUP(B4366,'Mapa Cotações'!$A:$N,2,0))))))))</f>
        <v/>
      </c>
      <c r="D4366" s="89" t="str">
        <f>IF(B4366="","",IF($A$8="NÃO DESONERADO",(IF(A4366="SINAPI",VLOOKUP(B4366,#REF!,3,0),IF(A4366="SUDECAP",VLOOKUP(B4366,#REF!,4,0),IF(A4366="SETOP",VLOOKUP(B4366,#REF!,3,0),IF(A4366="COTAÇÃO",VLOOKUP(B4366,'Mapa Cotações'!$A:$N,3,0)))))),(IF(A4366="SINAPI",VLOOKUP(B4366,#REF!,3,0),IF(A4366="SUDECAP",VLOOKUP(B4366,#REF!,4,0),IF(A4366="SETOP",VLOOKUP(B4366,#REF!,3,0),IF(A4366="COTAÇÃO",VLOOKUP(B4366,'Mapa Cotações'!$A:$N,3,0))))))))</f>
        <v/>
      </c>
      <c r="E4366" s="88"/>
      <c r="F4366" s="89" t="str">
        <f>IF(B4366="","",IF($A$8="NÃO DESONERADO",(IF(A4366="SINAPI",VLOOKUP(B4366,#REF!,4,0),IF(A4366="SUDECAP",VLOOKUP(B4366,#REF!,5,0),IF(A4366="SETOP",VLOOKUP(B4366,#REF!,4,0),IF(A4366="COTAÇÃO",VLOOKUP(B4366,'Mapa Cotações'!$A:$N,13,0)))))),(IF(A4366="SINAPI",VLOOKUP(B4366,#REF!,4,0),IF(A4366="SUDECAP",VLOOKUP(B4366,#REF!,5,0),IF(A4366="SETOP",VLOOKUP(B4366,#REF!,4,0),IF(A4366="COTAÇÃO",VLOOKUP(B4366,'Mapa Cotações'!$A:$N,13,0))))))))</f>
        <v/>
      </c>
      <c r="G4366" s="89" t="str">
        <f>IF(D4366="","",E4366*F4366)</f>
        <v/>
      </c>
    </row>
    <row r="4367" spans="1:7">
      <c r="A4367" s="832" t="s">
        <v>1908</v>
      </c>
      <c r="B4367" s="833" t="s">
        <v>1908</v>
      </c>
      <c r="C4367" s="833"/>
      <c r="D4367" s="833"/>
      <c r="E4367" s="833"/>
      <c r="F4367" s="834"/>
      <c r="G4367" s="90" t="str">
        <f>IF(F4365="","",(SUM(G4365:G4366)))</f>
        <v/>
      </c>
    </row>
    <row r="4368" spans="1:7" ht="13.5" thickBot="1">
      <c r="A4368" s="91"/>
      <c r="B4368" s="92"/>
      <c r="C4368" s="163"/>
      <c r="D4368" s="99"/>
      <c r="E4368" s="100"/>
      <c r="F4368" s="101"/>
      <c r="G4368" s="102"/>
    </row>
    <row r="4369" spans="1:7" ht="13.5" thickBot="1">
      <c r="A4369" s="838" t="s">
        <v>1259</v>
      </c>
      <c r="B4369" s="839"/>
      <c r="C4369" s="839"/>
      <c r="D4369" s="839"/>
      <c r="E4369" s="839"/>
      <c r="F4369" s="840"/>
      <c r="G4369" s="103">
        <f>SUM(G4355,G4361,G4367)</f>
        <v>7540.33</v>
      </c>
    </row>
    <row r="4371" spans="1:7" hidden="1">
      <c r="A4371" s="660"/>
      <c r="B4371" s="653"/>
      <c r="C4371" s="815"/>
      <c r="D4371" s="815"/>
      <c r="E4371" s="815"/>
      <c r="F4371" s="815"/>
      <c r="G4371" s="632"/>
    </row>
    <row r="4372" spans="1:7" hidden="1">
      <c r="A4372" s="179"/>
      <c r="B4372" s="82"/>
      <c r="C4372" s="816"/>
      <c r="D4372" s="817"/>
      <c r="E4372" s="817"/>
      <c r="F4372" s="186"/>
      <c r="G4372" s="83"/>
    </row>
    <row r="4373" spans="1:7" hidden="1">
      <c r="A4373" s="818"/>
      <c r="B4373" s="819"/>
      <c r="C4373" s="819"/>
      <c r="D4373" s="819"/>
      <c r="E4373" s="819"/>
      <c r="F4373" s="819"/>
      <c r="G4373" s="820"/>
    </row>
    <row r="4374" spans="1:7" hidden="1">
      <c r="A4374" s="633"/>
      <c r="B4374" s="633"/>
      <c r="C4374" s="649"/>
      <c r="D4374" s="633"/>
      <c r="E4374" s="634"/>
      <c r="F4374" s="635"/>
      <c r="G4374" s="635"/>
    </row>
    <row r="4375" spans="1:7" hidden="1">
      <c r="A4375" s="636"/>
      <c r="B4375" s="187"/>
      <c r="C4375" s="662"/>
      <c r="D4375" s="638"/>
      <c r="E4375" s="637"/>
      <c r="F4375" s="638"/>
      <c r="G4375" s="638"/>
    </row>
    <row r="4376" spans="1:7" hidden="1">
      <c r="A4376" s="636"/>
      <c r="B4376" s="636"/>
      <c r="C4376" s="661"/>
      <c r="D4376" s="638"/>
      <c r="E4376" s="637"/>
      <c r="F4376" s="638"/>
      <c r="G4376" s="638"/>
    </row>
    <row r="4377" spans="1:7" hidden="1">
      <c r="A4377" s="821"/>
      <c r="B4377" s="822"/>
      <c r="C4377" s="822"/>
      <c r="D4377" s="822"/>
      <c r="E4377" s="822"/>
      <c r="F4377" s="823"/>
      <c r="G4377" s="613"/>
    </row>
    <row r="4378" spans="1:7" hidden="1">
      <c r="A4378" s="639"/>
      <c r="B4378" s="640"/>
      <c r="C4378" s="161"/>
      <c r="D4378" s="93"/>
      <c r="E4378" s="94"/>
      <c r="F4378" s="95"/>
      <c r="G4378" s="641"/>
    </row>
    <row r="4379" spans="1:7" hidden="1">
      <c r="A4379" s="824"/>
      <c r="B4379" s="825"/>
      <c r="C4379" s="825"/>
      <c r="D4379" s="825"/>
      <c r="E4379" s="825"/>
      <c r="F4379" s="825"/>
      <c r="G4379" s="826"/>
    </row>
    <row r="4380" spans="1:7" hidden="1">
      <c r="A4380" s="633"/>
      <c r="B4380" s="633"/>
      <c r="C4380" s="649"/>
      <c r="D4380" s="633"/>
      <c r="E4380" s="634"/>
      <c r="F4380" s="635"/>
      <c r="G4380" s="635"/>
    </row>
    <row r="4381" spans="1:7" hidden="1">
      <c r="A4381" s="636"/>
      <c r="B4381" s="636"/>
      <c r="C4381" s="661"/>
      <c r="D4381" s="638"/>
      <c r="E4381" s="637"/>
      <c r="F4381" s="638"/>
      <c r="G4381" s="638"/>
    </row>
    <row r="4382" spans="1:7" hidden="1">
      <c r="A4382" s="636"/>
      <c r="B4382" s="636"/>
      <c r="C4382" s="661"/>
      <c r="D4382" s="638"/>
      <c r="E4382" s="637"/>
      <c r="F4382" s="638"/>
      <c r="G4382" s="638"/>
    </row>
    <row r="4383" spans="1:7" hidden="1">
      <c r="A4383" s="821"/>
      <c r="B4383" s="822"/>
      <c r="C4383" s="822"/>
      <c r="D4383" s="822"/>
      <c r="E4383" s="822"/>
      <c r="F4383" s="823"/>
      <c r="G4383" s="613"/>
    </row>
    <row r="4384" spans="1:7" hidden="1">
      <c r="A4384" s="639"/>
      <c r="B4384" s="640"/>
      <c r="C4384" s="650"/>
      <c r="D4384" s="640"/>
      <c r="E4384" s="642"/>
      <c r="F4384" s="643"/>
      <c r="G4384" s="641"/>
    </row>
    <row r="4385" spans="1:11" hidden="1">
      <c r="A4385" s="824"/>
      <c r="B4385" s="825"/>
      <c r="C4385" s="825"/>
      <c r="D4385" s="825"/>
      <c r="E4385" s="825"/>
      <c r="F4385" s="825"/>
      <c r="G4385" s="826"/>
    </row>
    <row r="4386" spans="1:11" hidden="1">
      <c r="A4386" s="633"/>
      <c r="B4386" s="633"/>
      <c r="C4386" s="649"/>
      <c r="D4386" s="633"/>
      <c r="E4386" s="634"/>
      <c r="F4386" s="635"/>
      <c r="G4386" s="635"/>
    </row>
    <row r="4387" spans="1:11" hidden="1">
      <c r="A4387" s="636"/>
      <c r="B4387" s="636"/>
      <c r="C4387" s="661"/>
      <c r="D4387" s="638"/>
      <c r="E4387" s="637"/>
      <c r="F4387" s="638"/>
      <c r="G4387" s="638"/>
    </row>
    <row r="4388" spans="1:11" hidden="1">
      <c r="A4388" s="636"/>
      <c r="B4388" s="636"/>
      <c r="C4388" s="661"/>
      <c r="D4388" s="638"/>
      <c r="E4388" s="637"/>
      <c r="F4388" s="638"/>
      <c r="G4388" s="638"/>
    </row>
    <row r="4389" spans="1:11" hidden="1">
      <c r="A4389" s="821"/>
      <c r="B4389" s="822"/>
      <c r="C4389" s="822"/>
      <c r="D4389" s="822"/>
      <c r="E4389" s="822"/>
      <c r="F4389" s="823"/>
      <c r="G4389" s="613"/>
    </row>
    <row r="4390" spans="1:11" ht="13.5" hidden="1" thickBot="1">
      <c r="A4390" s="639"/>
      <c r="B4390" s="640"/>
      <c r="C4390" s="651"/>
      <c r="D4390" s="644"/>
      <c r="E4390" s="645"/>
      <c r="F4390" s="646"/>
      <c r="G4390" s="647"/>
    </row>
    <row r="4391" spans="1:11" ht="13.5" hidden="1" thickBot="1">
      <c r="A4391" s="827"/>
      <c r="B4391" s="828"/>
      <c r="C4391" s="828"/>
      <c r="D4391" s="828"/>
      <c r="E4391" s="828"/>
      <c r="F4391" s="829"/>
      <c r="G4391" s="103"/>
    </row>
    <row r="4394" spans="1:11">
      <c r="A4394" s="237" t="s">
        <v>131</v>
      </c>
      <c r="B4394" s="190" t="s">
        <v>27</v>
      </c>
      <c r="C4394" s="841" t="s">
        <v>1281</v>
      </c>
      <c r="D4394" s="841"/>
      <c r="E4394" s="841"/>
      <c r="F4394" s="841"/>
      <c r="G4394" s="81" t="s">
        <v>127</v>
      </c>
      <c r="I4394" s="480" t="s">
        <v>1901</v>
      </c>
      <c r="J4394" s="80"/>
      <c r="K4394" s="80"/>
    </row>
    <row r="4395" spans="1:11" ht="39.950000000000003" customHeight="1">
      <c r="A4395" s="179" t="s">
        <v>1149</v>
      </c>
      <c r="B4395" s="82"/>
      <c r="C4395" s="816" t="s">
        <v>3070</v>
      </c>
      <c r="D4395" s="817"/>
      <c r="E4395" s="817"/>
      <c r="F4395" s="186">
        <f>G4414</f>
        <v>8540.33</v>
      </c>
      <c r="G4395" s="83" t="s">
        <v>167</v>
      </c>
      <c r="I4395" s="481"/>
      <c r="J4395" s="272"/>
      <c r="K4395" s="272"/>
    </row>
    <row r="4396" spans="1:11">
      <c r="A4396" s="818" t="s">
        <v>1902</v>
      </c>
      <c r="B4396" s="819"/>
      <c r="C4396" s="819"/>
      <c r="D4396" s="819"/>
      <c r="E4396" s="819"/>
      <c r="F4396" s="819"/>
      <c r="G4396" s="820"/>
    </row>
    <row r="4397" spans="1:11">
      <c r="A4397" s="84" t="s">
        <v>1903</v>
      </c>
      <c r="B4397" s="84" t="s">
        <v>131</v>
      </c>
      <c r="C4397" s="160" t="s">
        <v>1904</v>
      </c>
      <c r="D4397" s="84" t="s">
        <v>167</v>
      </c>
      <c r="E4397" s="85" t="s">
        <v>1905</v>
      </c>
      <c r="F4397" s="86" t="s">
        <v>1906</v>
      </c>
      <c r="G4397" s="86" t="s">
        <v>1907</v>
      </c>
    </row>
    <row r="4398" spans="1:11" ht="35.1" customHeight="1">
      <c r="A4398" s="87" t="s">
        <v>1917</v>
      </c>
      <c r="B4398" s="187" t="s">
        <v>2149</v>
      </c>
      <c r="C4398" s="475" t="str">
        <f>IF(B4398="","",IF($A$8="NÃO DESONERADO",(IF(A4398="SINAPI",VLOOKUP(B4398,#REF!,2,0),IF(A4398="SUDECAP",VLOOKUP(B4398,#REF!,3,0),IF(A4398="SETOP",VLOOKUP(B4398,#REF!,2,0),IF(A4398="COTAÇÃO",VLOOKUP(B4398,'Mapa Cotações'!$A:$N,2,0)))))),(IF(A4398="SINAPI",VLOOKUP(B4398,#REF!,2,0),IF(A4398="SUDECAP",VLOOKUP(B4398,#REF!,3,0),IF(A4398="SETOP",VLOOKUP(B4398,#REF!,2,0),IF(A4398="COTAÇÃO",VLOOKUP(B4398,'Mapa Cotações'!$A:$N,2,0))))))))</f>
        <v xml:space="preserve">ATENUADOR DE RUÍDO COM CARCAÇA E CÉLULAS DE CHAPA GALVANIZADA, COM MATERIAL DE ABSORÇÃO EM LÂ MINERAL REVESTIDO COM TELA DE VIDRO. MODELO KS-200 - ATR-11
VAZÃO DE AR  =12700 M3/H
PERDA DE CARGA =40 PA
VELOCIDADE NA CÉLULA  = 9,2 M3/H  / LW (DB(A)=41 / NÚMERO DE CÉLULAS =4                                                                                                                                                                                                                                                                           LARGURA/ALTURA/COMPRIMENTO = 1300/500/1200 MM / PESO = 84 KG 
FREQUENCIA/ATENUAÇÃO  -    63HZ/3   125/10   250/20  500/20  1000/25  2000/18  4000/13  8000/12   
REF.:BERLINER LUFT OU EQUIVALENTE                   </v>
      </c>
      <c r="D4398" s="89" t="str">
        <f>IF(B4398="","",IF($A$8="NÃO DESONERADO",(IF(A4398="SINAPI",VLOOKUP(B4398,#REF!,3,0),IF(A4398="SUDECAP",VLOOKUP(B4398,#REF!,4,0),IF(A4398="SETOP",VLOOKUP(B4398,#REF!,3,0),IF(A4398="COTAÇÃO",VLOOKUP(B4398,'Mapa Cotações'!$A:$N,3,0)))))),(IF(A4398="SINAPI",VLOOKUP(B4398,#REF!,3,0),IF(A4398="SUDECAP",VLOOKUP(B4398,#REF!,4,0),IF(A4398="SETOP",VLOOKUP(B4398,#REF!,3,0),IF(A4398="COTAÇÃO",VLOOKUP(B4398,'Mapa Cotações'!$A:$N,3,0))))))))</f>
        <v>UN</v>
      </c>
      <c r="E4398" s="88">
        <v>1</v>
      </c>
      <c r="F4398" s="89">
        <f>IF(B4398="","",IF($A$8="NÃO DESONERADO",(IF(A4398="SINAPI",VLOOKUP(B4398,#REF!,4,0),IF(A4398="SUDECAP",VLOOKUP(B4398,#REF!,5,0),IF(A4398="SETOP",VLOOKUP(B4398,#REF!,4,0),IF(A4398="COTAÇÃO",VLOOKUP(B4398,'Mapa Cotações'!$A:$N,13,0)))))),(IF(A4398="SINAPI",VLOOKUP(B4398,#REF!,4,0),IF(A4398="SUDECAP",VLOOKUP(B4398,#REF!,5,0),IF(A4398="SETOP",VLOOKUP(B4398,#REF!,4,0),IF(A4398="COTAÇÃO",VLOOKUP(B4398,'Mapa Cotações'!$A:$N,13,0))))))))</f>
        <v>8490</v>
      </c>
      <c r="G4398" s="89">
        <f>IF(D4398="","",E4398*F4398)</f>
        <v>8490</v>
      </c>
    </row>
    <row r="4399" spans="1:11">
      <c r="A4399" s="87"/>
      <c r="B4399" s="87"/>
      <c r="C4399" s="278" t="str">
        <f>IF(B4399="","",IF($A$8="NÃO DESONERADO",(IF(A4399="SINAPI",VLOOKUP(B4399,#REF!,2,0),IF(A4399="SUDECAP",VLOOKUP(B4399,#REF!,3,0),IF(A4399="SETOP",VLOOKUP(B4399,#REF!,2,0),IF(A4399="COTAÇÃO",VLOOKUP(B4399,'Mapa Cotações'!$A:$N,2,0)))))),(IF(A4399="SINAPI",VLOOKUP(B4399,#REF!,2,0),IF(A4399="SUDECAP",VLOOKUP(B4399,#REF!,3,0),IF(A4399="SETOP",VLOOKUP(B4399,#REF!,2,0),IF(A4399="COTAÇÃO",VLOOKUP(B4399,'Mapa Cotações'!$A:$N,2,0))))))))</f>
        <v/>
      </c>
      <c r="D4399" s="89" t="str">
        <f>IF(B4399="","",IF($A$8="NÃO DESONERADO",(IF(A4399="SINAPI",VLOOKUP(B4399,#REF!,3,0),IF(A4399="SUDECAP",VLOOKUP(B4399,#REF!,4,0),IF(A4399="SETOP",VLOOKUP(B4399,#REF!,3,0),IF(A4399="COTAÇÃO",VLOOKUP(B4399,'Mapa Cotações'!$A:$N,3,0)))))),(IF(A4399="SINAPI",VLOOKUP(B4399,#REF!,3,0),IF(A4399="SUDECAP",VLOOKUP(B4399,#REF!,4,0),IF(A4399="SETOP",VLOOKUP(B4399,#REF!,3,0),IF(A4399="COTAÇÃO",VLOOKUP(B4399,'Mapa Cotações'!$A:$N,3,0))))))))</f>
        <v/>
      </c>
      <c r="E4399" s="88"/>
      <c r="F4399" s="89" t="str">
        <f>IF(B4399="","",IF($A$8="NÃO DESONERADO",(IF(A4399="SINAPI",VLOOKUP(B4399,#REF!,4,0),IF(A4399="SUDECAP",VLOOKUP(B4399,#REF!,5,0),IF(A4399="SETOP",VLOOKUP(B4399,#REF!,4,0),IF(A4399="COTAÇÃO",VLOOKUP(B4399,'Mapa Cotações'!$A:$N,13,0)))))),(IF(A4399="SINAPI",VLOOKUP(B4399,#REF!,4,0),IF(A4399="SUDECAP",VLOOKUP(B4399,#REF!,5,0),IF(A4399="SETOP",VLOOKUP(B4399,#REF!,4,0),IF(A4399="COTAÇÃO",VLOOKUP(B4399,'Mapa Cotações'!$A:$N,13,0))))))))</f>
        <v/>
      </c>
      <c r="G4399" s="89" t="str">
        <f>IF(D4399="","",E4399*F4399)</f>
        <v/>
      </c>
    </row>
    <row r="4400" spans="1:11">
      <c r="A4400" s="832" t="s">
        <v>1908</v>
      </c>
      <c r="B4400" s="833"/>
      <c r="C4400" s="833"/>
      <c r="D4400" s="833"/>
      <c r="E4400" s="833"/>
      <c r="F4400" s="834"/>
      <c r="G4400" s="90">
        <f>IF(F4398="","",(SUM(G4398:G4399)))</f>
        <v>8490</v>
      </c>
    </row>
    <row r="4401" spans="1:7">
      <c r="A4401" s="91"/>
      <c r="B4401" s="92"/>
      <c r="C4401" s="161"/>
      <c r="D4401" s="93"/>
      <c r="E4401" s="94"/>
      <c r="F4401" s="95"/>
      <c r="G4401" s="96"/>
    </row>
    <row r="4402" spans="1:7">
      <c r="A4402" s="835" t="s">
        <v>1909</v>
      </c>
      <c r="B4402" s="836"/>
      <c r="C4402" s="836"/>
      <c r="D4402" s="836"/>
      <c r="E4402" s="836"/>
      <c r="F4402" s="836"/>
      <c r="G4402" s="837"/>
    </row>
    <row r="4403" spans="1:7">
      <c r="A4403" s="84" t="s">
        <v>1903</v>
      </c>
      <c r="B4403" s="84" t="s">
        <v>131</v>
      </c>
      <c r="C4403" s="160" t="s">
        <v>1904</v>
      </c>
      <c r="D4403" s="84" t="s">
        <v>167</v>
      </c>
      <c r="E4403" s="85" t="s">
        <v>1905</v>
      </c>
      <c r="F4403" s="86" t="s">
        <v>1906</v>
      </c>
      <c r="G4403" s="86" t="s">
        <v>1907</v>
      </c>
    </row>
    <row r="4404" spans="1:7" ht="24">
      <c r="A4404" s="636" t="s">
        <v>2</v>
      </c>
      <c r="B4404" s="636">
        <v>88243</v>
      </c>
      <c r="C4404" s="661" t="s">
        <v>2100</v>
      </c>
      <c r="D4404" s="638" t="s">
        <v>137</v>
      </c>
      <c r="E4404" s="637">
        <v>1</v>
      </c>
      <c r="F4404" s="638">
        <v>24.36</v>
      </c>
      <c r="G4404" s="638">
        <f>IF(D4404="","",E4404*F4404)</f>
        <v>24.36</v>
      </c>
    </row>
    <row r="4405" spans="1:7" ht="24">
      <c r="A4405" s="636" t="s">
        <v>2</v>
      </c>
      <c r="B4405" s="636">
        <v>100308</v>
      </c>
      <c r="C4405" s="661" t="s">
        <v>1936</v>
      </c>
      <c r="D4405" s="638" t="s">
        <v>137</v>
      </c>
      <c r="E4405" s="637">
        <v>1</v>
      </c>
      <c r="F4405" s="638">
        <v>25.97</v>
      </c>
      <c r="G4405" s="638">
        <f>IF(D4405="","",E4405*F4405)</f>
        <v>25.97</v>
      </c>
    </row>
    <row r="4406" spans="1:7">
      <c r="A4406" s="832" t="s">
        <v>1908</v>
      </c>
      <c r="B4406" s="833"/>
      <c r="C4406" s="833"/>
      <c r="D4406" s="833"/>
      <c r="E4406" s="833"/>
      <c r="F4406" s="834"/>
      <c r="G4406" s="90">
        <f>IF(F4404="","",(SUM(G4404:G4405)))</f>
        <v>50.33</v>
      </c>
    </row>
    <row r="4407" spans="1:7">
      <c r="A4407" s="91"/>
      <c r="B4407" s="92"/>
      <c r="C4407" s="162"/>
      <c r="D4407" s="92"/>
      <c r="E4407" s="97"/>
      <c r="F4407" s="98"/>
      <c r="G4407" s="96"/>
    </row>
    <row r="4408" spans="1:7">
      <c r="A4408" s="835" t="s">
        <v>1912</v>
      </c>
      <c r="B4408" s="836"/>
      <c r="C4408" s="836"/>
      <c r="D4408" s="836"/>
      <c r="E4408" s="836"/>
      <c r="F4408" s="836"/>
      <c r="G4408" s="837"/>
    </row>
    <row r="4409" spans="1:7">
      <c r="A4409" s="84" t="s">
        <v>1903</v>
      </c>
      <c r="B4409" s="84" t="s">
        <v>131</v>
      </c>
      <c r="C4409" s="160" t="s">
        <v>1904</v>
      </c>
      <c r="D4409" s="84" t="s">
        <v>167</v>
      </c>
      <c r="E4409" s="85" t="s">
        <v>1905</v>
      </c>
      <c r="F4409" s="86" t="s">
        <v>1906</v>
      </c>
      <c r="G4409" s="86" t="s">
        <v>1907</v>
      </c>
    </row>
    <row r="4410" spans="1:7">
      <c r="A4410" s="87"/>
      <c r="B4410" s="87"/>
      <c r="C4410" s="278" t="str">
        <f>IF(B4410="","",IF($A$8="NÃO DESONERADO",(IF(A4410="SINAPI",VLOOKUP(B4410,#REF!,2,0),IF(A4410="SUDECAP",VLOOKUP(B4410,#REF!,3,0),IF(A4410="SETOP",VLOOKUP(B4410,#REF!,2,0),IF(A4410="COTAÇÃO",VLOOKUP(B4410,'Mapa Cotações'!$A:$N,2,0)))))),(IF(A4410="SINAPI",VLOOKUP(B4410,#REF!,2,0),IF(A4410="SUDECAP",VLOOKUP(B4410,#REF!,3,0),IF(A4410="SETOP",VLOOKUP(B4410,#REF!,2,0),IF(A4410="COTAÇÃO",VLOOKUP(B4410,'Mapa Cotações'!$A:$N,2,0))))))))</f>
        <v/>
      </c>
      <c r="D4410" s="89" t="str">
        <f>IF(B4410="","",IF($A$8="NÃO DESONERADO",(IF(A4410="SINAPI",VLOOKUP(B4410,#REF!,3,0),IF(A4410="SUDECAP",VLOOKUP(B4410,#REF!,4,0),IF(A4410="SETOP",VLOOKUP(B4410,#REF!,3,0),IF(A4410="COTAÇÃO",VLOOKUP(B4410,'Mapa Cotações'!$A:$N,3,0)))))),(IF(A4410="SINAPI",VLOOKUP(B4410,#REF!,3,0),IF(A4410="SUDECAP",VLOOKUP(B4410,#REF!,4,0),IF(A4410="SETOP",VLOOKUP(B4410,#REF!,3,0),IF(A4410="COTAÇÃO",VLOOKUP(B4410,'Mapa Cotações'!$A:$N,3,0))))))))</f>
        <v/>
      </c>
      <c r="E4410" s="88"/>
      <c r="F4410" s="89" t="str">
        <f>IF(B4410="","",IF($A$8="NÃO DESONERADO",(IF(A4410="SINAPI",VLOOKUP(B4410,#REF!,4,0),IF(A4410="SUDECAP",VLOOKUP(B4410,#REF!,5,0),IF(A4410="SETOP",VLOOKUP(B4410,#REF!,4,0),IF(A4410="COTAÇÃO",VLOOKUP(B4410,'Mapa Cotações'!$A:$N,13,0)))))),(IF(A4410="SINAPI",VLOOKUP(B4410,#REF!,4,0),IF(A4410="SUDECAP",VLOOKUP(B4410,#REF!,5,0),IF(A4410="SETOP",VLOOKUP(B4410,#REF!,4,0),IF(A4410="COTAÇÃO",VLOOKUP(B4410,'Mapa Cotações'!$A:$N,13,0))))))))</f>
        <v/>
      </c>
      <c r="G4410" s="89" t="str">
        <f>IF(D4410="","",E4410*F4410)</f>
        <v/>
      </c>
    </row>
    <row r="4411" spans="1:7">
      <c r="A4411" s="87"/>
      <c r="B4411" s="87"/>
      <c r="C4411" s="278" t="str">
        <f>IF(B4411="","",IF($A$8="NÃO DESONERADO",(IF(A4411="SINAPI",VLOOKUP(B4411,#REF!,2,0),IF(A4411="SUDECAP",VLOOKUP(B4411,#REF!,3,0),IF(A4411="SETOP",VLOOKUP(B4411,#REF!,2,0),IF(A4411="COTAÇÃO",VLOOKUP(B4411,'Mapa Cotações'!$A:$N,2,0)))))),(IF(A4411="SINAPI",VLOOKUP(B4411,#REF!,2,0),IF(A4411="SUDECAP",VLOOKUP(B4411,#REF!,3,0),IF(A4411="SETOP",VLOOKUP(B4411,#REF!,2,0),IF(A4411="COTAÇÃO",VLOOKUP(B4411,'Mapa Cotações'!$A:$N,2,0))))))))</f>
        <v/>
      </c>
      <c r="D4411" s="89" t="str">
        <f>IF(B4411="","",IF($A$8="NÃO DESONERADO",(IF(A4411="SINAPI",VLOOKUP(B4411,#REF!,3,0),IF(A4411="SUDECAP",VLOOKUP(B4411,#REF!,4,0),IF(A4411="SETOP",VLOOKUP(B4411,#REF!,3,0),IF(A4411="COTAÇÃO",VLOOKUP(B4411,'Mapa Cotações'!$A:$N,3,0)))))),(IF(A4411="SINAPI",VLOOKUP(B4411,#REF!,3,0),IF(A4411="SUDECAP",VLOOKUP(B4411,#REF!,4,0),IF(A4411="SETOP",VLOOKUP(B4411,#REF!,3,0),IF(A4411="COTAÇÃO",VLOOKUP(B4411,'Mapa Cotações'!$A:$N,3,0))))))))</f>
        <v/>
      </c>
      <c r="E4411" s="88"/>
      <c r="F4411" s="89" t="str">
        <f>IF(B4411="","",IF($A$8="NÃO DESONERADO",(IF(A4411="SINAPI",VLOOKUP(B4411,#REF!,4,0),IF(A4411="SUDECAP",VLOOKUP(B4411,#REF!,5,0),IF(A4411="SETOP",VLOOKUP(B4411,#REF!,4,0),IF(A4411="COTAÇÃO",VLOOKUP(B4411,'Mapa Cotações'!$A:$N,13,0)))))),(IF(A4411="SINAPI",VLOOKUP(B4411,#REF!,4,0),IF(A4411="SUDECAP",VLOOKUP(B4411,#REF!,5,0),IF(A4411="SETOP",VLOOKUP(B4411,#REF!,4,0),IF(A4411="COTAÇÃO",VLOOKUP(B4411,'Mapa Cotações'!$A:$N,13,0))))))))</f>
        <v/>
      </c>
      <c r="G4411" s="89" t="str">
        <f>IF(D4411="","",E4411*F4411)</f>
        <v/>
      </c>
    </row>
    <row r="4412" spans="1:7">
      <c r="A4412" s="832" t="s">
        <v>1908</v>
      </c>
      <c r="B4412" s="833" t="s">
        <v>1908</v>
      </c>
      <c r="C4412" s="833"/>
      <c r="D4412" s="833"/>
      <c r="E4412" s="833"/>
      <c r="F4412" s="834"/>
      <c r="G4412" s="90" t="str">
        <f>IF(F4410="","",(SUM(G4410:G4411)))</f>
        <v/>
      </c>
    </row>
    <row r="4413" spans="1:7" ht="13.5" thickBot="1">
      <c r="A4413" s="91"/>
      <c r="B4413" s="92"/>
      <c r="C4413" s="163"/>
      <c r="D4413" s="99"/>
      <c r="E4413" s="100"/>
      <c r="F4413" s="101"/>
      <c r="G4413" s="102"/>
    </row>
    <row r="4414" spans="1:7" ht="13.5" thickBot="1">
      <c r="A4414" s="838" t="s">
        <v>1259</v>
      </c>
      <c r="B4414" s="839"/>
      <c r="C4414" s="839"/>
      <c r="D4414" s="839"/>
      <c r="E4414" s="839"/>
      <c r="F4414" s="840"/>
      <c r="G4414" s="103">
        <f>SUM(G4400,G4406,G4412)</f>
        <v>8540.33</v>
      </c>
    </row>
    <row r="4416" spans="1:7" hidden="1">
      <c r="A4416" s="660"/>
      <c r="B4416" s="653"/>
      <c r="C4416" s="815"/>
      <c r="D4416" s="815"/>
      <c r="E4416" s="815"/>
      <c r="F4416" s="815"/>
      <c r="G4416" s="632"/>
    </row>
    <row r="4417" spans="1:7" hidden="1">
      <c r="A4417" s="179"/>
      <c r="B4417" s="82"/>
      <c r="C4417" s="816"/>
      <c r="D4417" s="817"/>
      <c r="E4417" s="817"/>
      <c r="F4417" s="186"/>
      <c r="G4417" s="83"/>
    </row>
    <row r="4418" spans="1:7" hidden="1">
      <c r="A4418" s="818"/>
      <c r="B4418" s="819"/>
      <c r="C4418" s="819"/>
      <c r="D4418" s="819"/>
      <c r="E4418" s="819"/>
      <c r="F4418" s="819"/>
      <c r="G4418" s="820"/>
    </row>
    <row r="4419" spans="1:7" hidden="1">
      <c r="A4419" s="633"/>
      <c r="B4419" s="633"/>
      <c r="C4419" s="649"/>
      <c r="D4419" s="633"/>
      <c r="E4419" s="634"/>
      <c r="F4419" s="635"/>
      <c r="G4419" s="635"/>
    </row>
    <row r="4420" spans="1:7" hidden="1">
      <c r="A4420" s="636"/>
      <c r="B4420" s="187"/>
      <c r="C4420" s="662"/>
      <c r="D4420" s="638"/>
      <c r="E4420" s="637"/>
      <c r="F4420" s="638"/>
      <c r="G4420" s="638"/>
    </row>
    <row r="4421" spans="1:7" hidden="1">
      <c r="A4421" s="636"/>
      <c r="B4421" s="636"/>
      <c r="C4421" s="661"/>
      <c r="D4421" s="638"/>
      <c r="E4421" s="637"/>
      <c r="F4421" s="638"/>
      <c r="G4421" s="638"/>
    </row>
    <row r="4422" spans="1:7" hidden="1">
      <c r="A4422" s="821"/>
      <c r="B4422" s="822"/>
      <c r="C4422" s="822"/>
      <c r="D4422" s="822"/>
      <c r="E4422" s="822"/>
      <c r="F4422" s="823"/>
      <c r="G4422" s="613"/>
    </row>
    <row r="4423" spans="1:7" hidden="1">
      <c r="A4423" s="639"/>
      <c r="B4423" s="640"/>
      <c r="C4423" s="161"/>
      <c r="D4423" s="93"/>
      <c r="E4423" s="94"/>
      <c r="F4423" s="95"/>
      <c r="G4423" s="641"/>
    </row>
    <row r="4424" spans="1:7" hidden="1">
      <c r="A4424" s="824"/>
      <c r="B4424" s="825"/>
      <c r="C4424" s="825"/>
      <c r="D4424" s="825"/>
      <c r="E4424" s="825"/>
      <c r="F4424" s="825"/>
      <c r="G4424" s="826"/>
    </row>
    <row r="4425" spans="1:7" hidden="1">
      <c r="A4425" s="633"/>
      <c r="B4425" s="633"/>
      <c r="C4425" s="649"/>
      <c r="D4425" s="633"/>
      <c r="E4425" s="634"/>
      <c r="F4425" s="635"/>
      <c r="G4425" s="635"/>
    </row>
    <row r="4426" spans="1:7" hidden="1">
      <c r="A4426" s="636"/>
      <c r="B4426" s="636"/>
      <c r="C4426" s="661"/>
      <c r="D4426" s="638"/>
      <c r="E4426" s="637"/>
      <c r="F4426" s="638"/>
      <c r="G4426" s="638"/>
    </row>
    <row r="4427" spans="1:7" hidden="1">
      <c r="A4427" s="636"/>
      <c r="B4427" s="636"/>
      <c r="C4427" s="661"/>
      <c r="D4427" s="638"/>
      <c r="E4427" s="637"/>
      <c r="F4427" s="638"/>
      <c r="G4427" s="638"/>
    </row>
    <row r="4428" spans="1:7" hidden="1">
      <c r="A4428" s="821"/>
      <c r="B4428" s="822"/>
      <c r="C4428" s="822"/>
      <c r="D4428" s="822"/>
      <c r="E4428" s="822"/>
      <c r="F4428" s="823"/>
      <c r="G4428" s="613"/>
    </row>
    <row r="4429" spans="1:7" hidden="1">
      <c r="A4429" s="639"/>
      <c r="B4429" s="640"/>
      <c r="C4429" s="650"/>
      <c r="D4429" s="640"/>
      <c r="E4429" s="642"/>
      <c r="F4429" s="643"/>
      <c r="G4429" s="641"/>
    </row>
    <row r="4430" spans="1:7" hidden="1">
      <c r="A4430" s="824"/>
      <c r="B4430" s="825"/>
      <c r="C4430" s="825"/>
      <c r="D4430" s="825"/>
      <c r="E4430" s="825"/>
      <c r="F4430" s="825"/>
      <c r="G4430" s="826"/>
    </row>
    <row r="4431" spans="1:7" hidden="1">
      <c r="A4431" s="633"/>
      <c r="B4431" s="633"/>
      <c r="C4431" s="649"/>
      <c r="D4431" s="633"/>
      <c r="E4431" s="634"/>
      <c r="F4431" s="635"/>
      <c r="G4431" s="635"/>
    </row>
    <row r="4432" spans="1:7" hidden="1">
      <c r="A4432" s="636"/>
      <c r="B4432" s="636"/>
      <c r="C4432" s="661"/>
      <c r="D4432" s="638"/>
      <c r="E4432" s="637"/>
      <c r="F4432" s="638"/>
      <c r="G4432" s="638"/>
    </row>
    <row r="4433" spans="1:11" hidden="1">
      <c r="A4433" s="636"/>
      <c r="B4433" s="636"/>
      <c r="C4433" s="661"/>
      <c r="D4433" s="638"/>
      <c r="E4433" s="637"/>
      <c r="F4433" s="638"/>
      <c r="G4433" s="638"/>
    </row>
    <row r="4434" spans="1:11" hidden="1">
      <c r="A4434" s="821"/>
      <c r="B4434" s="822"/>
      <c r="C4434" s="822"/>
      <c r="D4434" s="822"/>
      <c r="E4434" s="822"/>
      <c r="F4434" s="823"/>
      <c r="G4434" s="613"/>
    </row>
    <row r="4435" spans="1:11" ht="13.5" hidden="1" thickBot="1">
      <c r="A4435" s="639"/>
      <c r="B4435" s="640"/>
      <c r="C4435" s="651"/>
      <c r="D4435" s="644"/>
      <c r="E4435" s="645"/>
      <c r="F4435" s="646"/>
      <c r="G4435" s="647"/>
    </row>
    <row r="4436" spans="1:11" ht="13.5" hidden="1" thickBot="1">
      <c r="A4436" s="827"/>
      <c r="B4436" s="828"/>
      <c r="C4436" s="828"/>
      <c r="D4436" s="828"/>
      <c r="E4436" s="828"/>
      <c r="F4436" s="829"/>
      <c r="G4436" s="103"/>
    </row>
    <row r="4439" spans="1:11">
      <c r="A4439" s="237" t="s">
        <v>131</v>
      </c>
      <c r="B4439" s="190" t="s">
        <v>27</v>
      </c>
      <c r="C4439" s="841" t="s">
        <v>1281</v>
      </c>
      <c r="D4439" s="841"/>
      <c r="E4439" s="841"/>
      <c r="F4439" s="841"/>
      <c r="G4439" s="81" t="s">
        <v>127</v>
      </c>
      <c r="I4439" s="480" t="s">
        <v>1901</v>
      </c>
      <c r="J4439" s="80"/>
      <c r="K4439" s="80"/>
    </row>
    <row r="4440" spans="1:11" ht="39.950000000000003" customHeight="1">
      <c r="A4440" s="179" t="s">
        <v>1152</v>
      </c>
      <c r="B4440" s="82"/>
      <c r="C4440" s="816" t="s">
        <v>3071</v>
      </c>
      <c r="D4440" s="817"/>
      <c r="E4440" s="817"/>
      <c r="F4440" s="186">
        <f>G4459</f>
        <v>5369.39</v>
      </c>
      <c r="G4440" s="83" t="s">
        <v>167</v>
      </c>
      <c r="I4440" s="481"/>
      <c r="J4440" s="272"/>
      <c r="K4440" s="272"/>
    </row>
    <row r="4441" spans="1:11">
      <c r="A4441" s="818" t="s">
        <v>1902</v>
      </c>
      <c r="B4441" s="819"/>
      <c r="C4441" s="819"/>
      <c r="D4441" s="819"/>
      <c r="E4441" s="819"/>
      <c r="F4441" s="819"/>
      <c r="G4441" s="820"/>
    </row>
    <row r="4442" spans="1:11">
      <c r="A4442" s="84" t="s">
        <v>1903</v>
      </c>
      <c r="B4442" s="84" t="s">
        <v>131</v>
      </c>
      <c r="C4442" s="160" t="s">
        <v>1904</v>
      </c>
      <c r="D4442" s="84" t="s">
        <v>167</v>
      </c>
      <c r="E4442" s="85" t="s">
        <v>1905</v>
      </c>
      <c r="F4442" s="86" t="s">
        <v>1906</v>
      </c>
      <c r="G4442" s="86" t="s">
        <v>1907</v>
      </c>
    </row>
    <row r="4443" spans="1:11" ht="35.1" customHeight="1">
      <c r="A4443" s="87" t="s">
        <v>1917</v>
      </c>
      <c r="B4443" s="187" t="s">
        <v>2151</v>
      </c>
      <c r="C4443" s="475" t="str">
        <f>IF(B4443="","",IF($A$8="NÃO DESONERADO",(IF(A4443="SINAPI",VLOOKUP(B4443,#REF!,2,0),IF(A4443="SUDECAP",VLOOKUP(B4443,#REF!,3,0),IF(A4443="SETOP",VLOOKUP(B4443,#REF!,2,0),IF(A4443="COTAÇÃO",VLOOKUP(B4443,'Mapa Cotações'!$A:$N,2,0)))))),(IF(A4443="SINAPI",VLOOKUP(B4443,#REF!,2,0),IF(A4443="SUDECAP",VLOOKUP(B4443,#REF!,3,0),IF(A4443="SETOP",VLOOKUP(B4443,#REF!,2,0),IF(A4443="COTAÇÃO",VLOOKUP(B4443,'Mapa Cotações'!$A:$N,2,0))))))))</f>
        <v xml:space="preserve">ATENUADOR DE RUÍDO COM CARCAÇA E CÉLULAS DE CHAPA GALVANIZADA, COM MATERIAL DE ABSORÇÃO EM LÂ MINERAL REVESTIDO COM TELA DE VIDRO. MODELO KS-200 - ATR-12
VAZÃO DE AR  =4690 M3/H
PERDA DE CARGA =73 PA
VELOCIDADE NA CÉLULA  = 10,9 M3/H   / LW (DB(A)=44  / NÚMERO DE CÉLULAS =3
LARGURA/ALTURA/COMPRIMENTO = 800/600/1000 MM  /  PESO = 59 KG
FREQUENCIA/ATENUAÇÃO  -    63HZ/5   125/13   250/27  500/28  1000/35  2000/32  4000/21  8000/17   
REF.:BERLINER LUFT OU EQUIVALENTE           </v>
      </c>
      <c r="D4443" s="89" t="str">
        <f>IF(B4443="","",IF($A$8="NÃO DESONERADO",(IF(A4443="SINAPI",VLOOKUP(B4443,#REF!,3,0),IF(A4443="SUDECAP",VLOOKUP(B4443,#REF!,4,0),IF(A4443="SETOP",VLOOKUP(B4443,#REF!,3,0),IF(A4443="COTAÇÃO",VLOOKUP(B4443,'Mapa Cotações'!$A:$N,3,0)))))),(IF(A4443="SINAPI",VLOOKUP(B4443,#REF!,3,0),IF(A4443="SUDECAP",VLOOKUP(B4443,#REF!,4,0),IF(A4443="SETOP",VLOOKUP(B4443,#REF!,3,0),IF(A4443="COTAÇÃO",VLOOKUP(B4443,'Mapa Cotações'!$A:$N,3,0))))))))</f>
        <v>UN</v>
      </c>
      <c r="E4443" s="88">
        <v>1</v>
      </c>
      <c r="F4443" s="89">
        <f>IF(B4443="","",IF($A$8="NÃO DESONERADO",(IF(A4443="SINAPI",VLOOKUP(B4443,#REF!,4,0),IF(A4443="SUDECAP",VLOOKUP(B4443,#REF!,5,0),IF(A4443="SETOP",VLOOKUP(B4443,#REF!,4,0),IF(A4443="COTAÇÃO",VLOOKUP(B4443,'Mapa Cotações'!$A:$N,13,0)))))),(IF(A4443="SINAPI",VLOOKUP(B4443,#REF!,4,0),IF(A4443="SUDECAP",VLOOKUP(B4443,#REF!,5,0),IF(A4443="SETOP",VLOOKUP(B4443,#REF!,4,0),IF(A4443="COTAÇÃO",VLOOKUP(B4443,'Mapa Cotações'!$A:$N,13,0))))))))</f>
        <v>5319.06</v>
      </c>
      <c r="G4443" s="89">
        <f>IF(D4443="","",E4443*F4443)</f>
        <v>5319.06</v>
      </c>
    </row>
    <row r="4444" spans="1:11">
      <c r="A4444" s="87"/>
      <c r="B4444" s="87"/>
      <c r="C4444" s="278" t="str">
        <f>IF(B4444="","",IF($A$8="NÃO DESONERADO",(IF(A4444="SINAPI",VLOOKUP(B4444,#REF!,2,0),IF(A4444="SUDECAP",VLOOKUP(B4444,#REF!,3,0),IF(A4444="SETOP",VLOOKUP(B4444,#REF!,2,0),IF(A4444="COTAÇÃO",VLOOKUP(B4444,'Mapa Cotações'!$A:$N,2,0)))))),(IF(A4444="SINAPI",VLOOKUP(B4444,#REF!,2,0),IF(A4444="SUDECAP",VLOOKUP(B4444,#REF!,3,0),IF(A4444="SETOP",VLOOKUP(B4444,#REF!,2,0),IF(A4444="COTAÇÃO",VLOOKUP(B4444,'Mapa Cotações'!$A:$N,2,0))))))))</f>
        <v/>
      </c>
      <c r="D4444" s="89" t="str">
        <f>IF(B4444="","",IF($A$8="NÃO DESONERADO",(IF(A4444="SINAPI",VLOOKUP(B4444,#REF!,3,0),IF(A4444="SUDECAP",VLOOKUP(B4444,#REF!,4,0),IF(A4444="SETOP",VLOOKUP(B4444,#REF!,3,0),IF(A4444="COTAÇÃO",VLOOKUP(B4444,'Mapa Cotações'!$A:$N,3,0)))))),(IF(A4444="SINAPI",VLOOKUP(B4444,#REF!,3,0),IF(A4444="SUDECAP",VLOOKUP(B4444,#REF!,4,0),IF(A4444="SETOP",VLOOKUP(B4444,#REF!,3,0),IF(A4444="COTAÇÃO",VLOOKUP(B4444,'Mapa Cotações'!$A:$N,3,0))))))))</f>
        <v/>
      </c>
      <c r="E4444" s="88"/>
      <c r="F4444" s="89" t="str">
        <f>IF(B4444="","",IF($A$8="NÃO DESONERADO",(IF(A4444="SINAPI",VLOOKUP(B4444,#REF!,4,0),IF(A4444="SUDECAP",VLOOKUP(B4444,#REF!,5,0),IF(A4444="SETOP",VLOOKUP(B4444,#REF!,4,0),IF(A4444="COTAÇÃO",VLOOKUP(B4444,'Mapa Cotações'!$A:$N,13,0)))))),(IF(A4444="SINAPI",VLOOKUP(B4444,#REF!,4,0),IF(A4444="SUDECAP",VLOOKUP(B4444,#REF!,5,0),IF(A4444="SETOP",VLOOKUP(B4444,#REF!,4,0),IF(A4444="COTAÇÃO",VLOOKUP(B4444,'Mapa Cotações'!$A:$N,13,0))))))))</f>
        <v/>
      </c>
      <c r="G4444" s="89" t="str">
        <f>IF(D4444="","",E4444*F4444)</f>
        <v/>
      </c>
    </row>
    <row r="4445" spans="1:11">
      <c r="A4445" s="832" t="s">
        <v>1908</v>
      </c>
      <c r="B4445" s="833"/>
      <c r="C4445" s="833"/>
      <c r="D4445" s="833"/>
      <c r="E4445" s="833"/>
      <c r="F4445" s="834"/>
      <c r="G4445" s="90">
        <f>IF(F4443="","",(SUM(G4443:G4444)))</f>
        <v>5319.06</v>
      </c>
    </row>
    <row r="4446" spans="1:11">
      <c r="A4446" s="91"/>
      <c r="B4446" s="92"/>
      <c r="C4446" s="161"/>
      <c r="D4446" s="93"/>
      <c r="E4446" s="94"/>
      <c r="F4446" s="95"/>
      <c r="G4446" s="96"/>
    </row>
    <row r="4447" spans="1:11">
      <c r="A4447" s="835" t="s">
        <v>1909</v>
      </c>
      <c r="B4447" s="836"/>
      <c r="C4447" s="836"/>
      <c r="D4447" s="836"/>
      <c r="E4447" s="836"/>
      <c r="F4447" s="836"/>
      <c r="G4447" s="837"/>
    </row>
    <row r="4448" spans="1:11">
      <c r="A4448" s="84" t="s">
        <v>1903</v>
      </c>
      <c r="B4448" s="84" t="s">
        <v>131</v>
      </c>
      <c r="C4448" s="160" t="s">
        <v>1904</v>
      </c>
      <c r="D4448" s="84" t="s">
        <v>167</v>
      </c>
      <c r="E4448" s="85" t="s">
        <v>1905</v>
      </c>
      <c r="F4448" s="86" t="s">
        <v>1906</v>
      </c>
      <c r="G4448" s="86" t="s">
        <v>1907</v>
      </c>
    </row>
    <row r="4449" spans="1:7" ht="24">
      <c r="A4449" s="636" t="s">
        <v>2</v>
      </c>
      <c r="B4449" s="636">
        <v>88243</v>
      </c>
      <c r="C4449" s="661" t="s">
        <v>2100</v>
      </c>
      <c r="D4449" s="638" t="s">
        <v>137</v>
      </c>
      <c r="E4449" s="637">
        <v>1</v>
      </c>
      <c r="F4449" s="638">
        <v>24.36</v>
      </c>
      <c r="G4449" s="638">
        <f>IF(D4449="","",E4449*F4449)</f>
        <v>24.36</v>
      </c>
    </row>
    <row r="4450" spans="1:7" ht="24">
      <c r="A4450" s="636" t="s">
        <v>2</v>
      </c>
      <c r="B4450" s="636">
        <v>100308</v>
      </c>
      <c r="C4450" s="661" t="s">
        <v>1936</v>
      </c>
      <c r="D4450" s="638" t="s">
        <v>137</v>
      </c>
      <c r="E4450" s="637">
        <v>1</v>
      </c>
      <c r="F4450" s="638">
        <v>25.97</v>
      </c>
      <c r="G4450" s="638">
        <f>IF(D4450="","",E4450*F4450)</f>
        <v>25.97</v>
      </c>
    </row>
    <row r="4451" spans="1:7">
      <c r="A4451" s="832" t="s">
        <v>1908</v>
      </c>
      <c r="B4451" s="833"/>
      <c r="C4451" s="833"/>
      <c r="D4451" s="833"/>
      <c r="E4451" s="833"/>
      <c r="F4451" s="834"/>
      <c r="G4451" s="90">
        <f>IF(F4449="","",(SUM(G4449:G4450)))</f>
        <v>50.33</v>
      </c>
    </row>
    <row r="4452" spans="1:7">
      <c r="A4452" s="91"/>
      <c r="B4452" s="92"/>
      <c r="C4452" s="162"/>
      <c r="D4452" s="92"/>
      <c r="E4452" s="97"/>
      <c r="F4452" s="98"/>
      <c r="G4452" s="96"/>
    </row>
    <row r="4453" spans="1:7">
      <c r="A4453" s="835" t="s">
        <v>1912</v>
      </c>
      <c r="B4453" s="836"/>
      <c r="C4453" s="836"/>
      <c r="D4453" s="836"/>
      <c r="E4453" s="836"/>
      <c r="F4453" s="836"/>
      <c r="G4453" s="837"/>
    </row>
    <row r="4454" spans="1:7">
      <c r="A4454" s="84" t="s">
        <v>1903</v>
      </c>
      <c r="B4454" s="84" t="s">
        <v>131</v>
      </c>
      <c r="C4454" s="160" t="s">
        <v>1904</v>
      </c>
      <c r="D4454" s="84" t="s">
        <v>167</v>
      </c>
      <c r="E4454" s="85" t="s">
        <v>1905</v>
      </c>
      <c r="F4454" s="86" t="s">
        <v>1906</v>
      </c>
      <c r="G4454" s="86" t="s">
        <v>1907</v>
      </c>
    </row>
    <row r="4455" spans="1:7">
      <c r="A4455" s="87"/>
      <c r="B4455" s="87"/>
      <c r="C4455" s="278" t="str">
        <f>IF(B4455="","",IF($A$8="NÃO DESONERADO",(IF(A4455="SINAPI",VLOOKUP(B4455,#REF!,2,0),IF(A4455="SUDECAP",VLOOKUP(B4455,#REF!,3,0),IF(A4455="SETOP",VLOOKUP(B4455,#REF!,2,0),IF(A4455="COTAÇÃO",VLOOKUP(B4455,'Mapa Cotações'!$A:$N,2,0)))))),(IF(A4455="SINAPI",VLOOKUP(B4455,#REF!,2,0),IF(A4455="SUDECAP",VLOOKUP(B4455,#REF!,3,0),IF(A4455="SETOP",VLOOKUP(B4455,#REF!,2,0),IF(A4455="COTAÇÃO",VLOOKUP(B4455,'Mapa Cotações'!$A:$N,2,0))))))))</f>
        <v/>
      </c>
      <c r="D4455" s="89" t="str">
        <f>IF(B4455="","",IF($A$8="NÃO DESONERADO",(IF(A4455="SINAPI",VLOOKUP(B4455,#REF!,3,0),IF(A4455="SUDECAP",VLOOKUP(B4455,#REF!,4,0),IF(A4455="SETOP",VLOOKUP(B4455,#REF!,3,0),IF(A4455="COTAÇÃO",VLOOKUP(B4455,'Mapa Cotações'!$A:$N,3,0)))))),(IF(A4455="SINAPI",VLOOKUP(B4455,#REF!,3,0),IF(A4455="SUDECAP",VLOOKUP(B4455,#REF!,4,0),IF(A4455="SETOP",VLOOKUP(B4455,#REF!,3,0),IF(A4455="COTAÇÃO",VLOOKUP(B4455,'Mapa Cotações'!$A:$N,3,0))))))))</f>
        <v/>
      </c>
      <c r="E4455" s="88"/>
      <c r="F4455" s="89" t="str">
        <f>IF(B4455="","",IF($A$8="NÃO DESONERADO",(IF(A4455="SINAPI",VLOOKUP(B4455,#REF!,4,0),IF(A4455="SUDECAP",VLOOKUP(B4455,#REF!,5,0),IF(A4455="SETOP",VLOOKUP(B4455,#REF!,4,0),IF(A4455="COTAÇÃO",VLOOKUP(B4455,'Mapa Cotações'!$A:$N,13,0)))))),(IF(A4455="SINAPI",VLOOKUP(B4455,#REF!,4,0),IF(A4455="SUDECAP",VLOOKUP(B4455,#REF!,5,0),IF(A4455="SETOP",VLOOKUP(B4455,#REF!,4,0),IF(A4455="COTAÇÃO",VLOOKUP(B4455,'Mapa Cotações'!$A:$N,13,0))))))))</f>
        <v/>
      </c>
      <c r="G4455" s="89" t="str">
        <f>IF(D4455="","",E4455*F4455)</f>
        <v/>
      </c>
    </row>
    <row r="4456" spans="1:7">
      <c r="A4456" s="87"/>
      <c r="B4456" s="87"/>
      <c r="C4456" s="278" t="str">
        <f>IF(B4456="","",IF($A$8="NÃO DESONERADO",(IF(A4456="SINAPI",VLOOKUP(B4456,#REF!,2,0),IF(A4456="SUDECAP",VLOOKUP(B4456,#REF!,3,0),IF(A4456="SETOP",VLOOKUP(B4456,#REF!,2,0),IF(A4456="COTAÇÃO",VLOOKUP(B4456,'Mapa Cotações'!$A:$N,2,0)))))),(IF(A4456="SINAPI",VLOOKUP(B4456,#REF!,2,0),IF(A4456="SUDECAP",VLOOKUP(B4456,#REF!,3,0),IF(A4456="SETOP",VLOOKUP(B4456,#REF!,2,0),IF(A4456="COTAÇÃO",VLOOKUP(B4456,'Mapa Cotações'!$A:$N,2,0))))))))</f>
        <v/>
      </c>
      <c r="D4456" s="89" t="str">
        <f>IF(B4456="","",IF($A$8="NÃO DESONERADO",(IF(A4456="SINAPI",VLOOKUP(B4456,#REF!,3,0),IF(A4456="SUDECAP",VLOOKUP(B4456,#REF!,4,0),IF(A4456="SETOP",VLOOKUP(B4456,#REF!,3,0),IF(A4456="COTAÇÃO",VLOOKUP(B4456,'Mapa Cotações'!$A:$N,3,0)))))),(IF(A4456="SINAPI",VLOOKUP(B4456,#REF!,3,0),IF(A4456="SUDECAP",VLOOKUP(B4456,#REF!,4,0),IF(A4456="SETOP",VLOOKUP(B4456,#REF!,3,0),IF(A4456="COTAÇÃO",VLOOKUP(B4456,'Mapa Cotações'!$A:$N,3,0))))))))</f>
        <v/>
      </c>
      <c r="E4456" s="88"/>
      <c r="F4456" s="89" t="str">
        <f>IF(B4456="","",IF($A$8="NÃO DESONERADO",(IF(A4456="SINAPI",VLOOKUP(B4456,#REF!,4,0),IF(A4456="SUDECAP",VLOOKUP(B4456,#REF!,5,0),IF(A4456="SETOP",VLOOKUP(B4456,#REF!,4,0),IF(A4456="COTAÇÃO",VLOOKUP(B4456,'Mapa Cotações'!$A:$N,13,0)))))),(IF(A4456="SINAPI",VLOOKUP(B4456,#REF!,4,0),IF(A4456="SUDECAP",VLOOKUP(B4456,#REF!,5,0),IF(A4456="SETOP",VLOOKUP(B4456,#REF!,4,0),IF(A4456="COTAÇÃO",VLOOKUP(B4456,'Mapa Cotações'!$A:$N,13,0))))))))</f>
        <v/>
      </c>
      <c r="G4456" s="89" t="str">
        <f>IF(D4456="","",E4456*F4456)</f>
        <v/>
      </c>
    </row>
    <row r="4457" spans="1:7">
      <c r="A4457" s="832" t="s">
        <v>1908</v>
      </c>
      <c r="B4457" s="833" t="s">
        <v>1908</v>
      </c>
      <c r="C4457" s="833"/>
      <c r="D4457" s="833"/>
      <c r="E4457" s="833"/>
      <c r="F4457" s="834"/>
      <c r="G4457" s="90" t="str">
        <f>IF(F4455="","",(SUM(G4455:G4456)))</f>
        <v/>
      </c>
    </row>
    <row r="4458" spans="1:7" ht="13.5" thickBot="1">
      <c r="A4458" s="91"/>
      <c r="B4458" s="92"/>
      <c r="C4458" s="163"/>
      <c r="D4458" s="99"/>
      <c r="E4458" s="100"/>
      <c r="F4458" s="101"/>
      <c r="G4458" s="102"/>
    </row>
    <row r="4459" spans="1:7" ht="13.5" thickBot="1">
      <c r="A4459" s="838" t="s">
        <v>1259</v>
      </c>
      <c r="B4459" s="839"/>
      <c r="C4459" s="839"/>
      <c r="D4459" s="839"/>
      <c r="E4459" s="839"/>
      <c r="F4459" s="840"/>
      <c r="G4459" s="103">
        <f>SUM(G4445,G4451,G4457)</f>
        <v>5369.39</v>
      </c>
    </row>
    <row r="4461" spans="1:7" hidden="1">
      <c r="A4461" s="660"/>
      <c r="B4461" s="653"/>
      <c r="C4461" s="815"/>
      <c r="D4461" s="815"/>
      <c r="E4461" s="815"/>
      <c r="F4461" s="815"/>
      <c r="G4461" s="632"/>
    </row>
    <row r="4462" spans="1:7" hidden="1">
      <c r="A4462" s="179"/>
      <c r="B4462" s="82"/>
      <c r="C4462" s="816"/>
      <c r="D4462" s="817"/>
      <c r="E4462" s="817"/>
      <c r="F4462" s="186"/>
      <c r="G4462" s="83"/>
    </row>
    <row r="4463" spans="1:7" hidden="1">
      <c r="A4463" s="818"/>
      <c r="B4463" s="819"/>
      <c r="C4463" s="819"/>
      <c r="D4463" s="819"/>
      <c r="E4463" s="819"/>
      <c r="F4463" s="819"/>
      <c r="G4463" s="820"/>
    </row>
    <row r="4464" spans="1:7" hidden="1">
      <c r="A4464" s="633"/>
      <c r="B4464" s="633"/>
      <c r="C4464" s="649"/>
      <c r="D4464" s="633"/>
      <c r="E4464" s="634"/>
      <c r="F4464" s="635"/>
      <c r="G4464" s="635"/>
    </row>
    <row r="4465" spans="1:7" hidden="1">
      <c r="A4465" s="636"/>
      <c r="B4465" s="187"/>
      <c r="C4465" s="662"/>
      <c r="D4465" s="638"/>
      <c r="E4465" s="637"/>
      <c r="F4465" s="638"/>
      <c r="G4465" s="638"/>
    </row>
    <row r="4466" spans="1:7" hidden="1">
      <c r="A4466" s="636"/>
      <c r="B4466" s="636"/>
      <c r="C4466" s="661"/>
      <c r="D4466" s="638"/>
      <c r="E4466" s="637"/>
      <c r="F4466" s="638"/>
      <c r="G4466" s="638"/>
    </row>
    <row r="4467" spans="1:7" hidden="1">
      <c r="A4467" s="821"/>
      <c r="B4467" s="822"/>
      <c r="C4467" s="822"/>
      <c r="D4467" s="822"/>
      <c r="E4467" s="822"/>
      <c r="F4467" s="823"/>
      <c r="G4467" s="613"/>
    </row>
    <row r="4468" spans="1:7" hidden="1">
      <c r="A4468" s="639"/>
      <c r="B4468" s="640"/>
      <c r="C4468" s="161"/>
      <c r="D4468" s="93"/>
      <c r="E4468" s="94"/>
      <c r="F4468" s="95"/>
      <c r="G4468" s="641"/>
    </row>
    <row r="4469" spans="1:7" hidden="1">
      <c r="A4469" s="824"/>
      <c r="B4469" s="825"/>
      <c r="C4469" s="825"/>
      <c r="D4469" s="825"/>
      <c r="E4469" s="825"/>
      <c r="F4469" s="825"/>
      <c r="G4469" s="826"/>
    </row>
    <row r="4470" spans="1:7" hidden="1">
      <c r="A4470" s="633"/>
      <c r="B4470" s="633"/>
      <c r="C4470" s="649"/>
      <c r="D4470" s="633"/>
      <c r="E4470" s="634"/>
      <c r="F4470" s="635"/>
      <c r="G4470" s="635"/>
    </row>
    <row r="4471" spans="1:7" hidden="1">
      <c r="A4471" s="636"/>
      <c r="B4471" s="636"/>
      <c r="C4471" s="661"/>
      <c r="D4471" s="638"/>
      <c r="E4471" s="637"/>
      <c r="F4471" s="638"/>
      <c r="G4471" s="638"/>
    </row>
    <row r="4472" spans="1:7" hidden="1">
      <c r="A4472" s="636"/>
      <c r="B4472" s="636"/>
      <c r="C4472" s="661"/>
      <c r="D4472" s="638"/>
      <c r="E4472" s="637"/>
      <c r="F4472" s="638"/>
      <c r="G4472" s="638"/>
    </row>
    <row r="4473" spans="1:7" hidden="1">
      <c r="A4473" s="821"/>
      <c r="B4473" s="822"/>
      <c r="C4473" s="822"/>
      <c r="D4473" s="822"/>
      <c r="E4473" s="822"/>
      <c r="F4473" s="823"/>
      <c r="G4473" s="613"/>
    </row>
    <row r="4474" spans="1:7" hidden="1">
      <c r="A4474" s="639"/>
      <c r="B4474" s="640"/>
      <c r="C4474" s="650"/>
      <c r="D4474" s="640"/>
      <c r="E4474" s="642"/>
      <c r="F4474" s="643"/>
      <c r="G4474" s="641"/>
    </row>
    <row r="4475" spans="1:7" hidden="1">
      <c r="A4475" s="824"/>
      <c r="B4475" s="825"/>
      <c r="C4475" s="825"/>
      <c r="D4475" s="825"/>
      <c r="E4475" s="825"/>
      <c r="F4475" s="825"/>
      <c r="G4475" s="826"/>
    </row>
    <row r="4476" spans="1:7" hidden="1">
      <c r="A4476" s="633"/>
      <c r="B4476" s="633"/>
      <c r="C4476" s="649"/>
      <c r="D4476" s="633"/>
      <c r="E4476" s="634"/>
      <c r="F4476" s="635"/>
      <c r="G4476" s="635"/>
    </row>
    <row r="4477" spans="1:7" hidden="1">
      <c r="A4477" s="636"/>
      <c r="B4477" s="636"/>
      <c r="C4477" s="661"/>
      <c r="D4477" s="638"/>
      <c r="E4477" s="637"/>
      <c r="F4477" s="638"/>
      <c r="G4477" s="638"/>
    </row>
    <row r="4478" spans="1:7" hidden="1">
      <c r="A4478" s="636"/>
      <c r="B4478" s="636"/>
      <c r="C4478" s="661"/>
      <c r="D4478" s="638"/>
      <c r="E4478" s="637"/>
      <c r="F4478" s="638"/>
      <c r="G4478" s="638"/>
    </row>
    <row r="4479" spans="1:7" hidden="1">
      <c r="A4479" s="821"/>
      <c r="B4479" s="822"/>
      <c r="C4479" s="822"/>
      <c r="D4479" s="822"/>
      <c r="E4479" s="822"/>
      <c r="F4479" s="823"/>
      <c r="G4479" s="613"/>
    </row>
    <row r="4480" spans="1:7" ht="13.5" hidden="1" thickBot="1">
      <c r="A4480" s="639"/>
      <c r="B4480" s="640"/>
      <c r="C4480" s="651"/>
      <c r="D4480" s="644"/>
      <c r="E4480" s="645"/>
      <c r="F4480" s="646"/>
      <c r="G4480" s="647"/>
    </row>
    <row r="4481" spans="1:11" ht="13.5" hidden="1" thickBot="1">
      <c r="A4481" s="827"/>
      <c r="B4481" s="828"/>
      <c r="C4481" s="828"/>
      <c r="D4481" s="828"/>
      <c r="E4481" s="828"/>
      <c r="F4481" s="829"/>
      <c r="G4481" s="103"/>
    </row>
    <row r="4483" spans="1:11">
      <c r="A4483" s="237" t="s">
        <v>131</v>
      </c>
      <c r="B4483" s="190" t="s">
        <v>27</v>
      </c>
      <c r="C4483" s="841" t="s">
        <v>1281</v>
      </c>
      <c r="D4483" s="841"/>
      <c r="E4483" s="841"/>
      <c r="F4483" s="841"/>
      <c r="G4483" s="81" t="s">
        <v>127</v>
      </c>
      <c r="I4483" s="480" t="s">
        <v>1901</v>
      </c>
      <c r="J4483" s="80"/>
      <c r="K4483" s="80"/>
    </row>
    <row r="4484" spans="1:11" ht="39.950000000000003" customHeight="1">
      <c r="A4484" s="179" t="s">
        <v>1155</v>
      </c>
      <c r="B4484" s="82"/>
      <c r="C4484" s="816" t="s">
        <v>3072</v>
      </c>
      <c r="D4484" s="817"/>
      <c r="E4484" s="817"/>
      <c r="F4484" s="186">
        <f>G4503</f>
        <v>6051.32</v>
      </c>
      <c r="G4484" s="83" t="s">
        <v>167</v>
      </c>
      <c r="I4484" s="481"/>
      <c r="J4484" s="272"/>
      <c r="K4484" s="272"/>
    </row>
    <row r="4485" spans="1:11">
      <c r="A4485" s="818" t="s">
        <v>1902</v>
      </c>
      <c r="B4485" s="819"/>
      <c r="C4485" s="819"/>
      <c r="D4485" s="819"/>
      <c r="E4485" s="819"/>
      <c r="F4485" s="819"/>
      <c r="G4485" s="820"/>
    </row>
    <row r="4486" spans="1:11">
      <c r="A4486" s="84" t="s">
        <v>1903</v>
      </c>
      <c r="B4486" s="84" t="s">
        <v>131</v>
      </c>
      <c r="C4486" s="160" t="s">
        <v>1904</v>
      </c>
      <c r="D4486" s="84" t="s">
        <v>167</v>
      </c>
      <c r="E4486" s="85" t="s">
        <v>1905</v>
      </c>
      <c r="F4486" s="86" t="s">
        <v>1906</v>
      </c>
      <c r="G4486" s="86" t="s">
        <v>1907</v>
      </c>
    </row>
    <row r="4487" spans="1:11" ht="35.1" customHeight="1">
      <c r="A4487" s="87" t="s">
        <v>1917</v>
      </c>
      <c r="B4487" s="187" t="s">
        <v>2153</v>
      </c>
      <c r="C4487" s="475" t="str">
        <f>IF(B4487="","",IF($A$8="NÃO DESONERADO",(IF(A4487="SINAPI",VLOOKUP(B4487,#REF!,2,0),IF(A4487="SUDECAP",VLOOKUP(B4487,#REF!,3,0),IF(A4487="SETOP",VLOOKUP(B4487,#REF!,2,0),IF(A4487="COTAÇÃO",VLOOKUP(B4487,'Mapa Cotações'!$A:$N,2,0)))))),(IF(A4487="SINAPI",VLOOKUP(B4487,#REF!,2,0),IF(A4487="SUDECAP",VLOOKUP(B4487,#REF!,3,0),IF(A4487="SETOP",VLOOKUP(B4487,#REF!,2,0),IF(A4487="COTAÇÃO",VLOOKUP(B4487,'Mapa Cotações'!$A:$N,2,0))))))))</f>
        <v xml:space="preserve">ATENUADOR DE RUÍDO COM CARCAÇA E CÉLULAS DE CHAPA GALVANIZADA, COM MATERIAL DE ABSORÇÃO EM LÂ MINERAL REVESTIDO COM TELA DE VIDRO. MODELO KS-200 - ATR-13
VAZÃO DE AR  =5660 M3/H
PERDA DE CARGA =27 PA
VELOCIDADE NA CÉLULA  = 9,4 M3/H /  LW (DB(A)=38 / NÚMERO DE CÉLULAS =3
LARGURA/ALTURA/COMPRIMENTO = 1000/500/1000 MM / PESO = 57 KG
FREQUENCIA/ATENUAÇÃO  -    63HZ/3   125/8   250/16  500/16  1000/20  2000/15  4000/11  8000/10    REF.:BERLINER LUFT OU EQUIVALENTE           </v>
      </c>
      <c r="D4487" s="89" t="str">
        <f>IF(B4487="","",IF($A$8="NÃO DESONERADO",(IF(A4487="SINAPI",VLOOKUP(B4487,#REF!,3,0),IF(A4487="SUDECAP",VLOOKUP(B4487,#REF!,4,0),IF(A4487="SETOP",VLOOKUP(B4487,#REF!,3,0),IF(A4487="COTAÇÃO",VLOOKUP(B4487,'Mapa Cotações'!$A:$N,3,0)))))),(IF(A4487="SINAPI",VLOOKUP(B4487,#REF!,3,0),IF(A4487="SUDECAP",VLOOKUP(B4487,#REF!,4,0),IF(A4487="SETOP",VLOOKUP(B4487,#REF!,3,0),IF(A4487="COTAÇÃO",VLOOKUP(B4487,'Mapa Cotações'!$A:$N,3,0))))))))</f>
        <v>UN</v>
      </c>
      <c r="E4487" s="88">
        <v>1</v>
      </c>
      <c r="F4487" s="89">
        <f>IF(B4487="","",IF($A$8="NÃO DESONERADO",(IF(A4487="SINAPI",VLOOKUP(B4487,#REF!,4,0),IF(A4487="SUDECAP",VLOOKUP(B4487,#REF!,5,0),IF(A4487="SETOP",VLOOKUP(B4487,#REF!,4,0),IF(A4487="COTAÇÃO",VLOOKUP(B4487,'Mapa Cotações'!$A:$N,13,0)))))),(IF(A4487="SINAPI",VLOOKUP(B4487,#REF!,4,0),IF(A4487="SUDECAP",VLOOKUP(B4487,#REF!,5,0),IF(A4487="SETOP",VLOOKUP(B4487,#REF!,4,0),IF(A4487="COTAÇÃO",VLOOKUP(B4487,'Mapa Cotações'!$A:$N,13,0))))))))</f>
        <v>6000.99</v>
      </c>
      <c r="G4487" s="89">
        <f>IF(D4487="","",E4487*F4487)</f>
        <v>6000.99</v>
      </c>
    </row>
    <row r="4488" spans="1:11">
      <c r="A4488" s="87"/>
      <c r="B4488" s="87"/>
      <c r="C4488" s="278" t="str">
        <f>IF(B4488="","",IF($A$8="NÃO DESONERADO",(IF(A4488="SINAPI",VLOOKUP(B4488,#REF!,2,0),IF(A4488="SUDECAP",VLOOKUP(B4488,#REF!,3,0),IF(A4488="SETOP",VLOOKUP(B4488,#REF!,2,0),IF(A4488="COTAÇÃO",VLOOKUP(B4488,'Mapa Cotações'!$A:$N,2,0)))))),(IF(A4488="SINAPI",VLOOKUP(B4488,#REF!,2,0),IF(A4488="SUDECAP",VLOOKUP(B4488,#REF!,3,0),IF(A4488="SETOP",VLOOKUP(B4488,#REF!,2,0),IF(A4488="COTAÇÃO",VLOOKUP(B4488,'Mapa Cotações'!$A:$N,2,0))))))))</f>
        <v/>
      </c>
      <c r="D4488" s="89" t="str">
        <f>IF(B4488="","",IF($A$8="NÃO DESONERADO",(IF(A4488="SINAPI",VLOOKUP(B4488,#REF!,3,0),IF(A4488="SUDECAP",VLOOKUP(B4488,#REF!,4,0),IF(A4488="SETOP",VLOOKUP(B4488,#REF!,3,0),IF(A4488="COTAÇÃO",VLOOKUP(B4488,'Mapa Cotações'!$A:$N,3,0)))))),(IF(A4488="SINAPI",VLOOKUP(B4488,#REF!,3,0),IF(A4488="SUDECAP",VLOOKUP(B4488,#REF!,4,0),IF(A4488="SETOP",VLOOKUP(B4488,#REF!,3,0),IF(A4488="COTAÇÃO",VLOOKUP(B4488,'Mapa Cotações'!$A:$N,3,0))))))))</f>
        <v/>
      </c>
      <c r="E4488" s="88"/>
      <c r="F4488" s="89" t="str">
        <f>IF(B4488="","",IF($A$8="NÃO DESONERADO",(IF(A4488="SINAPI",VLOOKUP(B4488,#REF!,4,0),IF(A4488="SUDECAP",VLOOKUP(B4488,#REF!,5,0),IF(A4488="SETOP",VLOOKUP(B4488,#REF!,4,0),IF(A4488="COTAÇÃO",VLOOKUP(B4488,'Mapa Cotações'!$A:$N,13,0)))))),(IF(A4488="SINAPI",VLOOKUP(B4488,#REF!,4,0),IF(A4488="SUDECAP",VLOOKUP(B4488,#REF!,5,0),IF(A4488="SETOP",VLOOKUP(B4488,#REF!,4,0),IF(A4488="COTAÇÃO",VLOOKUP(B4488,'Mapa Cotações'!$A:$N,13,0))))))))</f>
        <v/>
      </c>
      <c r="G4488" s="89" t="str">
        <f>IF(D4488="","",E4488*F4488)</f>
        <v/>
      </c>
    </row>
    <row r="4489" spans="1:11">
      <c r="A4489" s="832" t="s">
        <v>1908</v>
      </c>
      <c r="B4489" s="833"/>
      <c r="C4489" s="833"/>
      <c r="D4489" s="833"/>
      <c r="E4489" s="833"/>
      <c r="F4489" s="834"/>
      <c r="G4489" s="90">
        <f>IF(F4487="","",(SUM(G4487:G4488)))</f>
        <v>6000.99</v>
      </c>
    </row>
    <row r="4490" spans="1:11">
      <c r="A4490" s="91"/>
      <c r="B4490" s="92"/>
      <c r="C4490" s="161"/>
      <c r="D4490" s="93"/>
      <c r="E4490" s="94"/>
      <c r="F4490" s="95"/>
      <c r="G4490" s="96"/>
    </row>
    <row r="4491" spans="1:11">
      <c r="A4491" s="835" t="s">
        <v>1909</v>
      </c>
      <c r="B4491" s="836"/>
      <c r="C4491" s="836"/>
      <c r="D4491" s="836"/>
      <c r="E4491" s="836"/>
      <c r="F4491" s="836"/>
      <c r="G4491" s="837"/>
    </row>
    <row r="4492" spans="1:11">
      <c r="A4492" s="84" t="s">
        <v>1903</v>
      </c>
      <c r="B4492" s="84" t="s">
        <v>131</v>
      </c>
      <c r="C4492" s="160" t="s">
        <v>1904</v>
      </c>
      <c r="D4492" s="84" t="s">
        <v>167</v>
      </c>
      <c r="E4492" s="85" t="s">
        <v>1905</v>
      </c>
      <c r="F4492" s="86" t="s">
        <v>1906</v>
      </c>
      <c r="G4492" s="86" t="s">
        <v>1907</v>
      </c>
    </row>
    <row r="4493" spans="1:11" ht="24">
      <c r="A4493" s="636" t="s">
        <v>2</v>
      </c>
      <c r="B4493" s="636">
        <v>88243</v>
      </c>
      <c r="C4493" s="661" t="s">
        <v>2100</v>
      </c>
      <c r="D4493" s="638" t="s">
        <v>137</v>
      </c>
      <c r="E4493" s="637">
        <v>1</v>
      </c>
      <c r="F4493" s="638">
        <v>24.36</v>
      </c>
      <c r="G4493" s="638">
        <f>IF(D4493="","",E4493*F4493)</f>
        <v>24.36</v>
      </c>
    </row>
    <row r="4494" spans="1:11" ht="24">
      <c r="A4494" s="636" t="s">
        <v>2</v>
      </c>
      <c r="B4494" s="636">
        <v>100308</v>
      </c>
      <c r="C4494" s="661" t="s">
        <v>1936</v>
      </c>
      <c r="D4494" s="638" t="s">
        <v>137</v>
      </c>
      <c r="E4494" s="637">
        <v>1</v>
      </c>
      <c r="F4494" s="638">
        <v>25.97</v>
      </c>
      <c r="G4494" s="638">
        <f>IF(D4494="","",E4494*F4494)</f>
        <v>25.97</v>
      </c>
    </row>
    <row r="4495" spans="1:11">
      <c r="A4495" s="832" t="s">
        <v>1908</v>
      </c>
      <c r="B4495" s="833"/>
      <c r="C4495" s="833"/>
      <c r="D4495" s="833"/>
      <c r="E4495" s="833"/>
      <c r="F4495" s="834"/>
      <c r="G4495" s="90">
        <f>IF(F4493="","",(SUM(G4493:G4494)))</f>
        <v>50.33</v>
      </c>
    </row>
    <row r="4496" spans="1:11">
      <c r="A4496" s="91"/>
      <c r="B4496" s="92"/>
      <c r="C4496" s="162"/>
      <c r="D4496" s="92"/>
      <c r="E4496" s="97"/>
      <c r="F4496" s="98"/>
      <c r="G4496" s="96"/>
    </row>
    <row r="4497" spans="1:7">
      <c r="A4497" s="835" t="s">
        <v>1912</v>
      </c>
      <c r="B4497" s="836"/>
      <c r="C4497" s="836"/>
      <c r="D4497" s="836"/>
      <c r="E4497" s="836"/>
      <c r="F4497" s="836"/>
      <c r="G4497" s="837"/>
    </row>
    <row r="4498" spans="1:7">
      <c r="A4498" s="84" t="s">
        <v>1903</v>
      </c>
      <c r="B4498" s="84" t="s">
        <v>131</v>
      </c>
      <c r="C4498" s="160" t="s">
        <v>1904</v>
      </c>
      <c r="D4498" s="84" t="s">
        <v>167</v>
      </c>
      <c r="E4498" s="85" t="s">
        <v>1905</v>
      </c>
      <c r="F4498" s="86" t="s">
        <v>1906</v>
      </c>
      <c r="G4498" s="86" t="s">
        <v>1907</v>
      </c>
    </row>
    <row r="4499" spans="1:7">
      <c r="A4499" s="87"/>
      <c r="B4499" s="87"/>
      <c r="C4499" s="278" t="str">
        <f>IF(B4499="","",IF($A$8="NÃO DESONERADO",(IF(A4499="SINAPI",VLOOKUP(B4499,#REF!,2,0),IF(A4499="SUDECAP",VLOOKUP(B4499,#REF!,3,0),IF(A4499="SETOP",VLOOKUP(B4499,#REF!,2,0),IF(A4499="COTAÇÃO",VLOOKUP(B4499,'Mapa Cotações'!$A:$N,2,0)))))),(IF(A4499="SINAPI",VLOOKUP(B4499,#REF!,2,0),IF(A4499="SUDECAP",VLOOKUP(B4499,#REF!,3,0),IF(A4499="SETOP",VLOOKUP(B4499,#REF!,2,0),IF(A4499="COTAÇÃO",VLOOKUP(B4499,'Mapa Cotações'!$A:$N,2,0))))))))</f>
        <v/>
      </c>
      <c r="D4499" s="89" t="str">
        <f>IF(B4499="","",IF($A$8="NÃO DESONERADO",(IF(A4499="SINAPI",VLOOKUP(B4499,#REF!,3,0),IF(A4499="SUDECAP",VLOOKUP(B4499,#REF!,4,0),IF(A4499="SETOP",VLOOKUP(B4499,#REF!,3,0),IF(A4499="COTAÇÃO",VLOOKUP(B4499,'Mapa Cotações'!$A:$N,3,0)))))),(IF(A4499="SINAPI",VLOOKUP(B4499,#REF!,3,0),IF(A4499="SUDECAP",VLOOKUP(B4499,#REF!,4,0),IF(A4499="SETOP",VLOOKUP(B4499,#REF!,3,0),IF(A4499="COTAÇÃO",VLOOKUP(B4499,'Mapa Cotações'!$A:$N,3,0))))))))</f>
        <v/>
      </c>
      <c r="E4499" s="88"/>
      <c r="F4499" s="89" t="str">
        <f>IF(B4499="","",IF($A$8="NÃO DESONERADO",(IF(A4499="SINAPI",VLOOKUP(B4499,#REF!,4,0),IF(A4499="SUDECAP",VLOOKUP(B4499,#REF!,5,0),IF(A4499="SETOP",VLOOKUP(B4499,#REF!,4,0),IF(A4499="COTAÇÃO",VLOOKUP(B4499,'Mapa Cotações'!$A:$N,13,0)))))),(IF(A4499="SINAPI",VLOOKUP(B4499,#REF!,4,0),IF(A4499="SUDECAP",VLOOKUP(B4499,#REF!,5,0),IF(A4499="SETOP",VLOOKUP(B4499,#REF!,4,0),IF(A4499="COTAÇÃO",VLOOKUP(B4499,'Mapa Cotações'!$A:$N,13,0))))))))</f>
        <v/>
      </c>
      <c r="G4499" s="89" t="str">
        <f>IF(D4499="","",E4499*F4499)</f>
        <v/>
      </c>
    </row>
    <row r="4500" spans="1:7">
      <c r="A4500" s="87"/>
      <c r="B4500" s="87"/>
      <c r="C4500" s="278" t="str">
        <f>IF(B4500="","",IF($A$8="NÃO DESONERADO",(IF(A4500="SINAPI",VLOOKUP(B4500,#REF!,2,0),IF(A4500="SUDECAP",VLOOKUP(B4500,#REF!,3,0),IF(A4500="SETOP",VLOOKUP(B4500,#REF!,2,0),IF(A4500="COTAÇÃO",VLOOKUP(B4500,'Mapa Cotações'!$A:$N,2,0)))))),(IF(A4500="SINAPI",VLOOKUP(B4500,#REF!,2,0),IF(A4500="SUDECAP",VLOOKUP(B4500,#REF!,3,0),IF(A4500="SETOP",VLOOKUP(B4500,#REF!,2,0),IF(A4500="COTAÇÃO",VLOOKUP(B4500,'Mapa Cotações'!$A:$N,2,0))))))))</f>
        <v/>
      </c>
      <c r="D4500" s="89" t="str">
        <f>IF(B4500="","",IF($A$8="NÃO DESONERADO",(IF(A4500="SINAPI",VLOOKUP(B4500,#REF!,3,0),IF(A4500="SUDECAP",VLOOKUP(B4500,#REF!,4,0),IF(A4500="SETOP",VLOOKUP(B4500,#REF!,3,0),IF(A4500="COTAÇÃO",VLOOKUP(B4500,'Mapa Cotações'!$A:$N,3,0)))))),(IF(A4500="SINAPI",VLOOKUP(B4500,#REF!,3,0),IF(A4500="SUDECAP",VLOOKUP(B4500,#REF!,4,0),IF(A4500="SETOP",VLOOKUP(B4500,#REF!,3,0),IF(A4500="COTAÇÃO",VLOOKUP(B4500,'Mapa Cotações'!$A:$N,3,0))))))))</f>
        <v/>
      </c>
      <c r="E4500" s="88"/>
      <c r="F4500" s="89" t="str">
        <f>IF(B4500="","",IF($A$8="NÃO DESONERADO",(IF(A4500="SINAPI",VLOOKUP(B4500,#REF!,4,0),IF(A4500="SUDECAP",VLOOKUP(B4500,#REF!,5,0),IF(A4500="SETOP",VLOOKUP(B4500,#REF!,4,0),IF(A4500="COTAÇÃO",VLOOKUP(B4500,'Mapa Cotações'!$A:$N,13,0)))))),(IF(A4500="SINAPI",VLOOKUP(B4500,#REF!,4,0),IF(A4500="SUDECAP",VLOOKUP(B4500,#REF!,5,0),IF(A4500="SETOP",VLOOKUP(B4500,#REF!,4,0),IF(A4500="COTAÇÃO",VLOOKUP(B4500,'Mapa Cotações'!$A:$N,13,0))))))))</f>
        <v/>
      </c>
      <c r="G4500" s="89" t="str">
        <f>IF(D4500="","",E4500*F4500)</f>
        <v/>
      </c>
    </row>
    <row r="4501" spans="1:7">
      <c r="A4501" s="832" t="s">
        <v>1908</v>
      </c>
      <c r="B4501" s="833" t="s">
        <v>1908</v>
      </c>
      <c r="C4501" s="833"/>
      <c r="D4501" s="833"/>
      <c r="E4501" s="833"/>
      <c r="F4501" s="834"/>
      <c r="G4501" s="90" t="str">
        <f>IF(F4499="","",(SUM(G4499:G4500)))</f>
        <v/>
      </c>
    </row>
    <row r="4502" spans="1:7" ht="13.5" thickBot="1">
      <c r="A4502" s="91"/>
      <c r="B4502" s="92"/>
      <c r="C4502" s="163"/>
      <c r="D4502" s="99"/>
      <c r="E4502" s="100"/>
      <c r="F4502" s="101"/>
      <c r="G4502" s="102"/>
    </row>
    <row r="4503" spans="1:7" ht="13.5" thickBot="1">
      <c r="A4503" s="838" t="s">
        <v>1259</v>
      </c>
      <c r="B4503" s="839"/>
      <c r="C4503" s="839"/>
      <c r="D4503" s="839"/>
      <c r="E4503" s="839"/>
      <c r="F4503" s="840"/>
      <c r="G4503" s="103">
        <f>SUM(G4489,G4495,G4501)</f>
        <v>6051.32</v>
      </c>
    </row>
    <row r="4505" spans="1:7" hidden="1">
      <c r="A4505" s="660"/>
      <c r="B4505" s="653"/>
      <c r="C4505" s="815"/>
      <c r="D4505" s="815"/>
      <c r="E4505" s="815"/>
      <c r="F4505" s="815"/>
      <c r="G4505" s="632"/>
    </row>
    <row r="4506" spans="1:7" hidden="1">
      <c r="A4506" s="179"/>
      <c r="B4506" s="82"/>
      <c r="C4506" s="816"/>
      <c r="D4506" s="817"/>
      <c r="E4506" s="817"/>
      <c r="F4506" s="186"/>
      <c r="G4506" s="83"/>
    </row>
    <row r="4507" spans="1:7" hidden="1">
      <c r="A4507" s="818"/>
      <c r="B4507" s="819"/>
      <c r="C4507" s="819"/>
      <c r="D4507" s="819"/>
      <c r="E4507" s="819"/>
      <c r="F4507" s="819"/>
      <c r="G4507" s="820"/>
    </row>
    <row r="4508" spans="1:7" hidden="1">
      <c r="A4508" s="633"/>
      <c r="B4508" s="633"/>
      <c r="C4508" s="649"/>
      <c r="D4508" s="633"/>
      <c r="E4508" s="634"/>
      <c r="F4508" s="635"/>
      <c r="G4508" s="635"/>
    </row>
    <row r="4509" spans="1:7" hidden="1">
      <c r="A4509" s="636"/>
      <c r="B4509" s="187"/>
      <c r="C4509" s="662"/>
      <c r="D4509" s="638"/>
      <c r="E4509" s="637"/>
      <c r="F4509" s="638"/>
      <c r="G4509" s="638"/>
    </row>
    <row r="4510" spans="1:7" hidden="1">
      <c r="A4510" s="636"/>
      <c r="B4510" s="636"/>
      <c r="C4510" s="661"/>
      <c r="D4510" s="638"/>
      <c r="E4510" s="637"/>
      <c r="F4510" s="638"/>
      <c r="G4510" s="638"/>
    </row>
    <row r="4511" spans="1:7" hidden="1">
      <c r="A4511" s="821"/>
      <c r="B4511" s="822"/>
      <c r="C4511" s="822"/>
      <c r="D4511" s="822"/>
      <c r="E4511" s="822"/>
      <c r="F4511" s="823"/>
      <c r="G4511" s="613"/>
    </row>
    <row r="4512" spans="1:7" hidden="1">
      <c r="A4512" s="639"/>
      <c r="B4512" s="640"/>
      <c r="C4512" s="161"/>
      <c r="D4512" s="93"/>
      <c r="E4512" s="94"/>
      <c r="F4512" s="95"/>
      <c r="G4512" s="641"/>
    </row>
    <row r="4513" spans="1:11" hidden="1">
      <c r="A4513" s="824"/>
      <c r="B4513" s="825"/>
      <c r="C4513" s="825"/>
      <c r="D4513" s="825"/>
      <c r="E4513" s="825"/>
      <c r="F4513" s="825"/>
      <c r="G4513" s="826"/>
    </row>
    <row r="4514" spans="1:11" hidden="1">
      <c r="A4514" s="633"/>
      <c r="B4514" s="633"/>
      <c r="C4514" s="649"/>
      <c r="D4514" s="633"/>
      <c r="E4514" s="634"/>
      <c r="F4514" s="635"/>
      <c r="G4514" s="635"/>
    </row>
    <row r="4515" spans="1:11" hidden="1">
      <c r="A4515" s="636"/>
      <c r="B4515" s="636"/>
      <c r="C4515" s="661"/>
      <c r="D4515" s="638"/>
      <c r="E4515" s="637"/>
      <c r="F4515" s="638"/>
      <c r="G4515" s="638"/>
    </row>
    <row r="4516" spans="1:11" hidden="1">
      <c r="A4516" s="636"/>
      <c r="B4516" s="636"/>
      <c r="C4516" s="661"/>
      <c r="D4516" s="638"/>
      <c r="E4516" s="637"/>
      <c r="F4516" s="638"/>
      <c r="G4516" s="638"/>
    </row>
    <row r="4517" spans="1:11" hidden="1">
      <c r="A4517" s="821"/>
      <c r="B4517" s="822"/>
      <c r="C4517" s="822"/>
      <c r="D4517" s="822"/>
      <c r="E4517" s="822"/>
      <c r="F4517" s="823"/>
      <c r="G4517" s="613"/>
    </row>
    <row r="4518" spans="1:11" hidden="1">
      <c r="A4518" s="639"/>
      <c r="B4518" s="640"/>
      <c r="C4518" s="650"/>
      <c r="D4518" s="640"/>
      <c r="E4518" s="642"/>
      <c r="F4518" s="643"/>
      <c r="G4518" s="641"/>
    </row>
    <row r="4519" spans="1:11" hidden="1">
      <c r="A4519" s="824"/>
      <c r="B4519" s="825"/>
      <c r="C4519" s="825"/>
      <c r="D4519" s="825"/>
      <c r="E4519" s="825"/>
      <c r="F4519" s="825"/>
      <c r="G4519" s="826"/>
    </row>
    <row r="4520" spans="1:11" hidden="1">
      <c r="A4520" s="633"/>
      <c r="B4520" s="633"/>
      <c r="C4520" s="649"/>
      <c r="D4520" s="633"/>
      <c r="E4520" s="634"/>
      <c r="F4520" s="635"/>
      <c r="G4520" s="635"/>
    </row>
    <row r="4521" spans="1:11" hidden="1">
      <c r="A4521" s="636"/>
      <c r="B4521" s="636"/>
      <c r="C4521" s="661"/>
      <c r="D4521" s="638"/>
      <c r="E4521" s="637"/>
      <c r="F4521" s="638"/>
      <c r="G4521" s="638"/>
    </row>
    <row r="4522" spans="1:11" hidden="1">
      <c r="A4522" s="636"/>
      <c r="B4522" s="636"/>
      <c r="C4522" s="661"/>
      <c r="D4522" s="638"/>
      <c r="E4522" s="637"/>
      <c r="F4522" s="638"/>
      <c r="G4522" s="638"/>
    </row>
    <row r="4523" spans="1:11" hidden="1">
      <c r="A4523" s="821"/>
      <c r="B4523" s="822"/>
      <c r="C4523" s="822"/>
      <c r="D4523" s="822"/>
      <c r="E4523" s="822"/>
      <c r="F4523" s="823"/>
      <c r="G4523" s="613"/>
    </row>
    <row r="4524" spans="1:11" ht="13.5" hidden="1" thickBot="1">
      <c r="A4524" s="639"/>
      <c r="B4524" s="640"/>
      <c r="C4524" s="651"/>
      <c r="D4524" s="644"/>
      <c r="E4524" s="645"/>
      <c r="F4524" s="646"/>
      <c r="G4524" s="647"/>
    </row>
    <row r="4525" spans="1:11" ht="13.5" hidden="1" thickBot="1">
      <c r="A4525" s="827"/>
      <c r="B4525" s="828"/>
      <c r="C4525" s="828"/>
      <c r="D4525" s="828"/>
      <c r="E4525" s="828"/>
      <c r="F4525" s="829"/>
      <c r="G4525" s="103"/>
    </row>
    <row r="4527" spans="1:11">
      <c r="A4527" s="237" t="s">
        <v>131</v>
      </c>
      <c r="B4527" s="190" t="s">
        <v>27</v>
      </c>
      <c r="C4527" s="841" t="s">
        <v>1281</v>
      </c>
      <c r="D4527" s="841"/>
      <c r="E4527" s="841"/>
      <c r="F4527" s="841"/>
      <c r="G4527" s="81" t="s">
        <v>127</v>
      </c>
      <c r="I4527" s="480" t="s">
        <v>1901</v>
      </c>
      <c r="J4527" s="80"/>
      <c r="K4527" s="80"/>
    </row>
    <row r="4528" spans="1:11" ht="39.950000000000003" customHeight="1">
      <c r="A4528" s="179" t="s">
        <v>1158</v>
      </c>
      <c r="B4528" s="82"/>
      <c r="C4528" s="816" t="s">
        <v>3073</v>
      </c>
      <c r="D4528" s="817"/>
      <c r="E4528" s="817"/>
      <c r="F4528" s="186">
        <f>G4547</f>
        <v>6051.32</v>
      </c>
      <c r="G4528" s="83" t="s">
        <v>167</v>
      </c>
      <c r="I4528" s="481"/>
      <c r="J4528" s="272"/>
      <c r="K4528" s="272"/>
    </row>
    <row r="4529" spans="1:7">
      <c r="A4529" s="818" t="s">
        <v>1902</v>
      </c>
      <c r="B4529" s="819"/>
      <c r="C4529" s="819"/>
      <c r="D4529" s="819"/>
      <c r="E4529" s="819"/>
      <c r="F4529" s="819"/>
      <c r="G4529" s="820"/>
    </row>
    <row r="4530" spans="1:7">
      <c r="A4530" s="84" t="s">
        <v>1903</v>
      </c>
      <c r="B4530" s="84" t="s">
        <v>131</v>
      </c>
      <c r="C4530" s="160" t="s">
        <v>1904</v>
      </c>
      <c r="D4530" s="84" t="s">
        <v>167</v>
      </c>
      <c r="E4530" s="85" t="s">
        <v>1905</v>
      </c>
      <c r="F4530" s="86" t="s">
        <v>1906</v>
      </c>
      <c r="G4530" s="86" t="s">
        <v>1907</v>
      </c>
    </row>
    <row r="4531" spans="1:7" ht="35.1" customHeight="1">
      <c r="A4531" s="87" t="s">
        <v>1917</v>
      </c>
      <c r="B4531" s="187" t="s">
        <v>2155</v>
      </c>
      <c r="C4531" s="475" t="str">
        <f>IF(B4531="","",IF($A$8="NÃO DESONERADO",(IF(A4531="SINAPI",VLOOKUP(B4531,#REF!,2,0),IF(A4531="SUDECAP",VLOOKUP(B4531,#REF!,3,0),IF(A4531="SETOP",VLOOKUP(B4531,#REF!,2,0),IF(A4531="COTAÇÃO",VLOOKUP(B4531,'Mapa Cotações'!$A:$N,2,0)))))),(IF(A4531="SINAPI",VLOOKUP(B4531,#REF!,2,0),IF(A4531="SUDECAP",VLOOKUP(B4531,#REF!,3,0),IF(A4531="SETOP",VLOOKUP(B4531,#REF!,2,0),IF(A4531="COTAÇÃO",VLOOKUP(B4531,'Mapa Cotações'!$A:$N,2,0))))))))</f>
        <v xml:space="preserve">ATENUADOR DE RUÍDO COM CARCAÇA E CÉLULAS DE CHAPA GALVANIZADA, COM MATERIAL DE ABSORÇÃO EM LÂ MINERAL REVESTIDO COM TELA DE VIDRO. MODELO KS-200 - ATR-14
VAZÃO DE AR  =7275 M3/H
PERDA DE CARGA =45 PA
VELOCIDADE NA CÉLULA  = 10,1 M3/H  / LW (DB(A)=72 / NÚMERO DE CÉLULAS =3
LARGURA/ALTURA/COMPRIMENTO = 1000/500/1000 MM / PESO = 57 KG
FREQUENCIA/ATENUAÇÃO  -    63HZ/3   125/8   250/16  500/16  1000/20  2000/15  4000/11  8000/10   
REF.:BERLINER LUFT OU EQUIVALENTE        </v>
      </c>
      <c r="D4531" s="89" t="str">
        <f>IF(B4531="","",IF($A$8="NÃO DESONERADO",(IF(A4531="SINAPI",VLOOKUP(B4531,#REF!,3,0),IF(A4531="SUDECAP",VLOOKUP(B4531,#REF!,4,0),IF(A4531="SETOP",VLOOKUP(B4531,#REF!,3,0),IF(A4531="COTAÇÃO",VLOOKUP(B4531,'Mapa Cotações'!$A:$N,3,0)))))),(IF(A4531="SINAPI",VLOOKUP(B4531,#REF!,3,0),IF(A4531="SUDECAP",VLOOKUP(B4531,#REF!,4,0),IF(A4531="SETOP",VLOOKUP(B4531,#REF!,3,0),IF(A4531="COTAÇÃO",VLOOKUP(B4531,'Mapa Cotações'!$A:$N,3,0))))))))</f>
        <v>UN</v>
      </c>
      <c r="E4531" s="88">
        <v>1</v>
      </c>
      <c r="F4531" s="89">
        <f>IF(B4531="","",IF($A$8="NÃO DESONERADO",(IF(A4531="SINAPI",VLOOKUP(B4531,#REF!,4,0),IF(A4531="SUDECAP",VLOOKUP(B4531,#REF!,5,0),IF(A4531="SETOP",VLOOKUP(B4531,#REF!,4,0),IF(A4531="COTAÇÃO",VLOOKUP(B4531,'Mapa Cotações'!$A:$N,13,0)))))),(IF(A4531="SINAPI",VLOOKUP(B4531,#REF!,4,0),IF(A4531="SUDECAP",VLOOKUP(B4531,#REF!,5,0),IF(A4531="SETOP",VLOOKUP(B4531,#REF!,4,0),IF(A4531="COTAÇÃO",VLOOKUP(B4531,'Mapa Cotações'!$A:$N,13,0))))))))</f>
        <v>6000.99</v>
      </c>
      <c r="G4531" s="89">
        <f>IF(D4531="","",E4531*F4531)</f>
        <v>6000.99</v>
      </c>
    </row>
    <row r="4532" spans="1:7">
      <c r="A4532" s="87"/>
      <c r="B4532" s="87"/>
      <c r="C4532" s="278" t="str">
        <f>IF(B4532="","",IF($A$8="NÃO DESONERADO",(IF(A4532="SINAPI",VLOOKUP(B4532,#REF!,2,0),IF(A4532="SUDECAP",VLOOKUP(B4532,#REF!,3,0),IF(A4532="SETOP",VLOOKUP(B4532,#REF!,2,0),IF(A4532="COTAÇÃO",VLOOKUP(B4532,'Mapa Cotações'!$A:$N,2,0)))))),(IF(A4532="SINAPI",VLOOKUP(B4532,#REF!,2,0),IF(A4532="SUDECAP",VLOOKUP(B4532,#REF!,3,0),IF(A4532="SETOP",VLOOKUP(B4532,#REF!,2,0),IF(A4532="COTAÇÃO",VLOOKUP(B4532,'Mapa Cotações'!$A:$N,2,0))))))))</f>
        <v/>
      </c>
      <c r="D4532" s="89" t="str">
        <f>IF(B4532="","",IF($A$8="NÃO DESONERADO",(IF(A4532="SINAPI",VLOOKUP(B4532,#REF!,3,0),IF(A4532="SUDECAP",VLOOKUP(B4532,#REF!,4,0),IF(A4532="SETOP",VLOOKUP(B4532,#REF!,3,0),IF(A4532="COTAÇÃO",VLOOKUP(B4532,'Mapa Cotações'!$A:$N,3,0)))))),(IF(A4532="SINAPI",VLOOKUP(B4532,#REF!,3,0),IF(A4532="SUDECAP",VLOOKUP(B4532,#REF!,4,0),IF(A4532="SETOP",VLOOKUP(B4532,#REF!,3,0),IF(A4532="COTAÇÃO",VLOOKUP(B4532,'Mapa Cotações'!$A:$N,3,0))))))))</f>
        <v/>
      </c>
      <c r="E4532" s="88"/>
      <c r="F4532" s="89" t="str">
        <f>IF(B4532="","",IF($A$8="NÃO DESONERADO",(IF(A4532="SINAPI",VLOOKUP(B4532,#REF!,4,0),IF(A4532="SUDECAP",VLOOKUP(B4532,#REF!,5,0),IF(A4532="SETOP",VLOOKUP(B4532,#REF!,4,0),IF(A4532="COTAÇÃO",VLOOKUP(B4532,'Mapa Cotações'!$A:$N,13,0)))))),(IF(A4532="SINAPI",VLOOKUP(B4532,#REF!,4,0),IF(A4532="SUDECAP",VLOOKUP(B4532,#REF!,5,0),IF(A4532="SETOP",VLOOKUP(B4532,#REF!,4,0),IF(A4532="COTAÇÃO",VLOOKUP(B4532,'Mapa Cotações'!$A:$N,13,0))))))))</f>
        <v/>
      </c>
      <c r="G4532" s="89" t="str">
        <f>IF(D4532="","",E4532*F4532)</f>
        <v/>
      </c>
    </row>
    <row r="4533" spans="1:7">
      <c r="A4533" s="832" t="s">
        <v>1908</v>
      </c>
      <c r="B4533" s="833"/>
      <c r="C4533" s="833"/>
      <c r="D4533" s="833"/>
      <c r="E4533" s="833"/>
      <c r="F4533" s="834"/>
      <c r="G4533" s="90">
        <f>IF(F4531="","",(SUM(G4531:G4532)))</f>
        <v>6000.99</v>
      </c>
    </row>
    <row r="4534" spans="1:7">
      <c r="A4534" s="91"/>
      <c r="B4534" s="92"/>
      <c r="C4534" s="161"/>
      <c r="D4534" s="93"/>
      <c r="E4534" s="94"/>
      <c r="F4534" s="95"/>
      <c r="G4534" s="96"/>
    </row>
    <row r="4535" spans="1:7">
      <c r="A4535" s="835" t="s">
        <v>1909</v>
      </c>
      <c r="B4535" s="836"/>
      <c r="C4535" s="836"/>
      <c r="D4535" s="836"/>
      <c r="E4535" s="836"/>
      <c r="F4535" s="836"/>
      <c r="G4535" s="837"/>
    </row>
    <row r="4536" spans="1:7">
      <c r="A4536" s="84" t="s">
        <v>1903</v>
      </c>
      <c r="B4536" s="84" t="s">
        <v>131</v>
      </c>
      <c r="C4536" s="160" t="s">
        <v>1904</v>
      </c>
      <c r="D4536" s="84" t="s">
        <v>167</v>
      </c>
      <c r="E4536" s="85" t="s">
        <v>1905</v>
      </c>
      <c r="F4536" s="86" t="s">
        <v>1906</v>
      </c>
      <c r="G4536" s="86" t="s">
        <v>1907</v>
      </c>
    </row>
    <row r="4537" spans="1:7" ht="24">
      <c r="A4537" s="636" t="s">
        <v>2</v>
      </c>
      <c r="B4537" s="636">
        <v>88243</v>
      </c>
      <c r="C4537" s="661" t="s">
        <v>2100</v>
      </c>
      <c r="D4537" s="638" t="s">
        <v>137</v>
      </c>
      <c r="E4537" s="637">
        <v>1</v>
      </c>
      <c r="F4537" s="638">
        <v>24.36</v>
      </c>
      <c r="G4537" s="638">
        <f>IF(D4537="","",E4537*F4537)</f>
        <v>24.36</v>
      </c>
    </row>
    <row r="4538" spans="1:7" ht="24">
      <c r="A4538" s="636" t="s">
        <v>2</v>
      </c>
      <c r="B4538" s="636">
        <v>100308</v>
      </c>
      <c r="C4538" s="661" t="s">
        <v>1936</v>
      </c>
      <c r="D4538" s="638" t="s">
        <v>137</v>
      </c>
      <c r="E4538" s="637">
        <v>1</v>
      </c>
      <c r="F4538" s="638">
        <v>25.97</v>
      </c>
      <c r="G4538" s="638">
        <f>IF(D4538="","",E4538*F4538)</f>
        <v>25.97</v>
      </c>
    </row>
    <row r="4539" spans="1:7">
      <c r="A4539" s="832" t="s">
        <v>1908</v>
      </c>
      <c r="B4539" s="833"/>
      <c r="C4539" s="833"/>
      <c r="D4539" s="833"/>
      <c r="E4539" s="833"/>
      <c r="F4539" s="834"/>
      <c r="G4539" s="90">
        <f>IF(F4537="","",(SUM(G4537:G4538)))</f>
        <v>50.33</v>
      </c>
    </row>
    <row r="4540" spans="1:7">
      <c r="A4540" s="91"/>
      <c r="B4540" s="92"/>
      <c r="C4540" s="162"/>
      <c r="D4540" s="92"/>
      <c r="E4540" s="97"/>
      <c r="F4540" s="98"/>
      <c r="G4540" s="96"/>
    </row>
    <row r="4541" spans="1:7">
      <c r="A4541" s="835" t="s">
        <v>1912</v>
      </c>
      <c r="B4541" s="836"/>
      <c r="C4541" s="836"/>
      <c r="D4541" s="836"/>
      <c r="E4541" s="836"/>
      <c r="F4541" s="836"/>
      <c r="G4541" s="837"/>
    </row>
    <row r="4542" spans="1:7">
      <c r="A4542" s="84" t="s">
        <v>1903</v>
      </c>
      <c r="B4542" s="84" t="s">
        <v>131</v>
      </c>
      <c r="C4542" s="160" t="s">
        <v>1904</v>
      </c>
      <c r="D4542" s="84" t="s">
        <v>167</v>
      </c>
      <c r="E4542" s="85" t="s">
        <v>1905</v>
      </c>
      <c r="F4542" s="86" t="s">
        <v>1906</v>
      </c>
      <c r="G4542" s="86" t="s">
        <v>1907</v>
      </c>
    </row>
    <row r="4543" spans="1:7">
      <c r="A4543" s="87"/>
      <c r="B4543" s="87"/>
      <c r="C4543" s="278" t="str">
        <f>IF(B4543="","",IF($A$8="NÃO DESONERADO",(IF(A4543="SINAPI",VLOOKUP(B4543,#REF!,2,0),IF(A4543="SUDECAP",VLOOKUP(B4543,#REF!,3,0),IF(A4543="SETOP",VLOOKUP(B4543,#REF!,2,0),IF(A4543="COTAÇÃO",VLOOKUP(B4543,'Mapa Cotações'!$A:$N,2,0)))))),(IF(A4543="SINAPI",VLOOKUP(B4543,#REF!,2,0),IF(A4543="SUDECAP",VLOOKUP(B4543,#REF!,3,0),IF(A4543="SETOP",VLOOKUP(B4543,#REF!,2,0),IF(A4543="COTAÇÃO",VLOOKUP(B4543,'Mapa Cotações'!$A:$N,2,0))))))))</f>
        <v/>
      </c>
      <c r="D4543" s="89" t="str">
        <f>IF(B4543="","",IF($A$8="NÃO DESONERADO",(IF(A4543="SINAPI",VLOOKUP(B4543,#REF!,3,0),IF(A4543="SUDECAP",VLOOKUP(B4543,#REF!,4,0),IF(A4543="SETOP",VLOOKUP(B4543,#REF!,3,0),IF(A4543="COTAÇÃO",VLOOKUP(B4543,'Mapa Cotações'!$A:$N,3,0)))))),(IF(A4543="SINAPI",VLOOKUP(B4543,#REF!,3,0),IF(A4543="SUDECAP",VLOOKUP(B4543,#REF!,4,0),IF(A4543="SETOP",VLOOKUP(B4543,#REF!,3,0),IF(A4543="COTAÇÃO",VLOOKUP(B4543,'Mapa Cotações'!$A:$N,3,0))))))))</f>
        <v/>
      </c>
      <c r="E4543" s="88"/>
      <c r="F4543" s="89" t="str">
        <f>IF(B4543="","",IF($A$8="NÃO DESONERADO",(IF(A4543="SINAPI",VLOOKUP(B4543,#REF!,4,0),IF(A4543="SUDECAP",VLOOKUP(B4543,#REF!,5,0),IF(A4543="SETOP",VLOOKUP(B4543,#REF!,4,0),IF(A4543="COTAÇÃO",VLOOKUP(B4543,'Mapa Cotações'!$A:$N,13,0)))))),(IF(A4543="SINAPI",VLOOKUP(B4543,#REF!,4,0),IF(A4543="SUDECAP",VLOOKUP(B4543,#REF!,5,0),IF(A4543="SETOP",VLOOKUP(B4543,#REF!,4,0),IF(A4543="COTAÇÃO",VLOOKUP(B4543,'Mapa Cotações'!$A:$N,13,0))))))))</f>
        <v/>
      </c>
      <c r="G4543" s="89" t="str">
        <f>IF(D4543="","",E4543*F4543)</f>
        <v/>
      </c>
    </row>
    <row r="4544" spans="1:7">
      <c r="A4544" s="87"/>
      <c r="B4544" s="87"/>
      <c r="C4544" s="278" t="str">
        <f>IF(B4544="","",IF($A$8="NÃO DESONERADO",(IF(A4544="SINAPI",VLOOKUP(B4544,#REF!,2,0),IF(A4544="SUDECAP",VLOOKUP(B4544,#REF!,3,0),IF(A4544="SETOP",VLOOKUP(B4544,#REF!,2,0),IF(A4544="COTAÇÃO",VLOOKUP(B4544,'Mapa Cotações'!$A:$N,2,0)))))),(IF(A4544="SINAPI",VLOOKUP(B4544,#REF!,2,0),IF(A4544="SUDECAP",VLOOKUP(B4544,#REF!,3,0),IF(A4544="SETOP",VLOOKUP(B4544,#REF!,2,0),IF(A4544="COTAÇÃO",VLOOKUP(B4544,'Mapa Cotações'!$A:$N,2,0))))))))</f>
        <v/>
      </c>
      <c r="D4544" s="89" t="str">
        <f>IF(B4544="","",IF($A$8="NÃO DESONERADO",(IF(A4544="SINAPI",VLOOKUP(B4544,#REF!,3,0),IF(A4544="SUDECAP",VLOOKUP(B4544,#REF!,4,0),IF(A4544="SETOP",VLOOKUP(B4544,#REF!,3,0),IF(A4544="COTAÇÃO",VLOOKUP(B4544,'Mapa Cotações'!$A:$N,3,0)))))),(IF(A4544="SINAPI",VLOOKUP(B4544,#REF!,3,0),IF(A4544="SUDECAP",VLOOKUP(B4544,#REF!,4,0),IF(A4544="SETOP",VLOOKUP(B4544,#REF!,3,0),IF(A4544="COTAÇÃO",VLOOKUP(B4544,'Mapa Cotações'!$A:$N,3,0))))))))</f>
        <v/>
      </c>
      <c r="E4544" s="88"/>
      <c r="F4544" s="89" t="str">
        <f>IF(B4544="","",IF($A$8="NÃO DESONERADO",(IF(A4544="SINAPI",VLOOKUP(B4544,#REF!,4,0),IF(A4544="SUDECAP",VLOOKUP(B4544,#REF!,5,0),IF(A4544="SETOP",VLOOKUP(B4544,#REF!,4,0),IF(A4544="COTAÇÃO",VLOOKUP(B4544,'Mapa Cotações'!$A:$N,13,0)))))),(IF(A4544="SINAPI",VLOOKUP(B4544,#REF!,4,0),IF(A4544="SUDECAP",VLOOKUP(B4544,#REF!,5,0),IF(A4544="SETOP",VLOOKUP(B4544,#REF!,4,0),IF(A4544="COTAÇÃO",VLOOKUP(B4544,'Mapa Cotações'!$A:$N,13,0))))))))</f>
        <v/>
      </c>
      <c r="G4544" s="89" t="str">
        <f>IF(D4544="","",E4544*F4544)</f>
        <v/>
      </c>
    </row>
    <row r="4545" spans="1:7">
      <c r="A4545" s="832" t="s">
        <v>1908</v>
      </c>
      <c r="B4545" s="833" t="s">
        <v>1908</v>
      </c>
      <c r="C4545" s="833"/>
      <c r="D4545" s="833"/>
      <c r="E4545" s="833"/>
      <c r="F4545" s="834"/>
      <c r="G4545" s="90" t="str">
        <f>IF(F4543="","",(SUM(G4543:G4544)))</f>
        <v/>
      </c>
    </row>
    <row r="4546" spans="1:7" ht="13.5" thickBot="1">
      <c r="A4546" s="91"/>
      <c r="B4546" s="92"/>
      <c r="C4546" s="163"/>
      <c r="D4546" s="99"/>
      <c r="E4546" s="100"/>
      <c r="F4546" s="101"/>
      <c r="G4546" s="102"/>
    </row>
    <row r="4547" spans="1:7" ht="13.5" thickBot="1">
      <c r="A4547" s="838" t="s">
        <v>1259</v>
      </c>
      <c r="B4547" s="839"/>
      <c r="C4547" s="839"/>
      <c r="D4547" s="839"/>
      <c r="E4547" s="839"/>
      <c r="F4547" s="840"/>
      <c r="G4547" s="103">
        <f>SUM(G4533,G4539,G4545)</f>
        <v>6051.32</v>
      </c>
    </row>
    <row r="4549" spans="1:7" hidden="1">
      <c r="A4549" s="660"/>
      <c r="B4549" s="653"/>
      <c r="C4549" s="815"/>
      <c r="D4549" s="815"/>
      <c r="E4549" s="815"/>
      <c r="F4549" s="815"/>
      <c r="G4549" s="632"/>
    </row>
    <row r="4550" spans="1:7" hidden="1">
      <c r="A4550" s="179"/>
      <c r="B4550" s="82"/>
      <c r="C4550" s="816"/>
      <c r="D4550" s="817"/>
      <c r="E4550" s="817"/>
      <c r="F4550" s="186"/>
      <c r="G4550" s="83"/>
    </row>
    <row r="4551" spans="1:7" hidden="1">
      <c r="A4551" s="818"/>
      <c r="B4551" s="819"/>
      <c r="C4551" s="819"/>
      <c r="D4551" s="819"/>
      <c r="E4551" s="819"/>
      <c r="F4551" s="819"/>
      <c r="G4551" s="820"/>
    </row>
    <row r="4552" spans="1:7" hidden="1">
      <c r="A4552" s="633"/>
      <c r="B4552" s="633"/>
      <c r="C4552" s="649"/>
      <c r="D4552" s="633"/>
      <c r="E4552" s="634"/>
      <c r="F4552" s="635"/>
      <c r="G4552" s="635"/>
    </row>
    <row r="4553" spans="1:7" hidden="1">
      <c r="A4553" s="636"/>
      <c r="B4553" s="187"/>
      <c r="C4553" s="662"/>
      <c r="D4553" s="638"/>
      <c r="E4553" s="637"/>
      <c r="F4553" s="638"/>
      <c r="G4553" s="638"/>
    </row>
    <row r="4554" spans="1:7" hidden="1">
      <c r="A4554" s="636"/>
      <c r="B4554" s="636"/>
      <c r="C4554" s="661"/>
      <c r="D4554" s="638"/>
      <c r="E4554" s="637"/>
      <c r="F4554" s="638"/>
      <c r="G4554" s="638"/>
    </row>
    <row r="4555" spans="1:7" hidden="1">
      <c r="A4555" s="821"/>
      <c r="B4555" s="822"/>
      <c r="C4555" s="822"/>
      <c r="D4555" s="822"/>
      <c r="E4555" s="822"/>
      <c r="F4555" s="823"/>
      <c r="G4555" s="613"/>
    </row>
    <row r="4556" spans="1:7" hidden="1">
      <c r="A4556" s="639"/>
      <c r="B4556" s="640"/>
      <c r="C4556" s="161"/>
      <c r="D4556" s="93"/>
      <c r="E4556" s="94"/>
      <c r="F4556" s="95"/>
      <c r="G4556" s="641"/>
    </row>
    <row r="4557" spans="1:7" hidden="1">
      <c r="A4557" s="824"/>
      <c r="B4557" s="825"/>
      <c r="C4557" s="825"/>
      <c r="D4557" s="825"/>
      <c r="E4557" s="825"/>
      <c r="F4557" s="825"/>
      <c r="G4557" s="826"/>
    </row>
    <row r="4558" spans="1:7" hidden="1">
      <c r="A4558" s="633"/>
      <c r="B4558" s="633"/>
      <c r="C4558" s="649"/>
      <c r="D4558" s="633"/>
      <c r="E4558" s="634"/>
      <c r="F4558" s="635"/>
      <c r="G4558" s="635"/>
    </row>
    <row r="4559" spans="1:7" hidden="1">
      <c r="A4559" s="636"/>
      <c r="B4559" s="636"/>
      <c r="C4559" s="661"/>
      <c r="D4559" s="638"/>
      <c r="E4559" s="637"/>
      <c r="F4559" s="638"/>
      <c r="G4559" s="638"/>
    </row>
    <row r="4560" spans="1:7" hidden="1">
      <c r="A4560" s="636"/>
      <c r="B4560" s="636"/>
      <c r="C4560" s="661"/>
      <c r="D4560" s="638"/>
      <c r="E4560" s="637"/>
      <c r="F4560" s="638"/>
      <c r="G4560" s="638"/>
    </row>
    <row r="4561" spans="1:11" hidden="1">
      <c r="A4561" s="821"/>
      <c r="B4561" s="822"/>
      <c r="C4561" s="822"/>
      <c r="D4561" s="822"/>
      <c r="E4561" s="822"/>
      <c r="F4561" s="823"/>
      <c r="G4561" s="613"/>
    </row>
    <row r="4562" spans="1:11" hidden="1">
      <c r="A4562" s="639"/>
      <c r="B4562" s="640"/>
      <c r="C4562" s="650"/>
      <c r="D4562" s="640"/>
      <c r="E4562" s="642"/>
      <c r="F4562" s="643"/>
      <c r="G4562" s="641"/>
    </row>
    <row r="4563" spans="1:11" hidden="1">
      <c r="A4563" s="824"/>
      <c r="B4563" s="825"/>
      <c r="C4563" s="825"/>
      <c r="D4563" s="825"/>
      <c r="E4563" s="825"/>
      <c r="F4563" s="825"/>
      <c r="G4563" s="826"/>
    </row>
    <row r="4564" spans="1:11" hidden="1">
      <c r="A4564" s="633"/>
      <c r="B4564" s="633"/>
      <c r="C4564" s="649"/>
      <c r="D4564" s="633"/>
      <c r="E4564" s="634"/>
      <c r="F4564" s="635"/>
      <c r="G4564" s="635"/>
    </row>
    <row r="4565" spans="1:11" hidden="1">
      <c r="A4565" s="636"/>
      <c r="B4565" s="636"/>
      <c r="C4565" s="661"/>
      <c r="D4565" s="638"/>
      <c r="E4565" s="637"/>
      <c r="F4565" s="638"/>
      <c r="G4565" s="638"/>
    </row>
    <row r="4566" spans="1:11" hidden="1">
      <c r="A4566" s="636"/>
      <c r="B4566" s="636"/>
      <c r="C4566" s="661"/>
      <c r="D4566" s="638"/>
      <c r="E4566" s="637"/>
      <c r="F4566" s="638"/>
      <c r="G4566" s="638"/>
    </row>
    <row r="4567" spans="1:11" hidden="1">
      <c r="A4567" s="821"/>
      <c r="B4567" s="822"/>
      <c r="C4567" s="822"/>
      <c r="D4567" s="822"/>
      <c r="E4567" s="822"/>
      <c r="F4567" s="823"/>
      <c r="G4567" s="613"/>
    </row>
    <row r="4568" spans="1:11" ht="13.5" hidden="1" thickBot="1">
      <c r="A4568" s="639"/>
      <c r="B4568" s="640"/>
      <c r="C4568" s="651"/>
      <c r="D4568" s="644"/>
      <c r="E4568" s="645"/>
      <c r="F4568" s="646"/>
      <c r="G4568" s="647"/>
    </row>
    <row r="4569" spans="1:11" ht="13.5" hidden="1" thickBot="1">
      <c r="A4569" s="827"/>
      <c r="B4569" s="828"/>
      <c r="C4569" s="828"/>
      <c r="D4569" s="828"/>
      <c r="E4569" s="828"/>
      <c r="F4569" s="829"/>
      <c r="G4569" s="103"/>
    </row>
    <row r="4570" spans="1:11" hidden="1"/>
    <row r="4572" spans="1:11">
      <c r="A4572" s="237" t="s">
        <v>131</v>
      </c>
      <c r="B4572" s="190" t="s">
        <v>27</v>
      </c>
      <c r="C4572" s="841" t="s">
        <v>1281</v>
      </c>
      <c r="D4572" s="841"/>
      <c r="E4572" s="841"/>
      <c r="F4572" s="841"/>
      <c r="G4572" s="81" t="s">
        <v>127</v>
      </c>
      <c r="I4572" s="480" t="s">
        <v>1901</v>
      </c>
      <c r="J4572" s="80"/>
      <c r="K4572" s="80"/>
    </row>
    <row r="4573" spans="1:11" ht="63" customHeight="1">
      <c r="A4573" s="179" t="s">
        <v>1161</v>
      </c>
      <c r="B4573" s="82"/>
      <c r="C4573" s="830" t="s">
        <v>1162</v>
      </c>
      <c r="D4573" s="831"/>
      <c r="E4573" s="831"/>
      <c r="F4573" s="186">
        <f>G4593</f>
        <v>3433.38</v>
      </c>
      <c r="G4573" s="83" t="s">
        <v>167</v>
      </c>
      <c r="I4573" s="481"/>
      <c r="J4573" s="272"/>
      <c r="K4573" s="272"/>
    </row>
    <row r="4574" spans="1:11">
      <c r="A4574" s="818" t="s">
        <v>1902</v>
      </c>
      <c r="B4574" s="819"/>
      <c r="C4574" s="819"/>
      <c r="D4574" s="819"/>
      <c r="E4574" s="819"/>
      <c r="F4574" s="819"/>
      <c r="G4574" s="820"/>
    </row>
    <row r="4575" spans="1:11">
      <c r="A4575" s="84" t="s">
        <v>1903</v>
      </c>
      <c r="B4575" s="84" t="s">
        <v>131</v>
      </c>
      <c r="C4575" s="160" t="s">
        <v>1904</v>
      </c>
      <c r="D4575" s="84" t="s">
        <v>167</v>
      </c>
      <c r="E4575" s="85" t="s">
        <v>1905</v>
      </c>
      <c r="F4575" s="86" t="s">
        <v>1906</v>
      </c>
      <c r="G4575" s="86" t="s">
        <v>1907</v>
      </c>
    </row>
    <row r="4576" spans="1:11" ht="60">
      <c r="A4576" s="87" t="s">
        <v>1917</v>
      </c>
      <c r="B4576" s="87" t="s">
        <v>2156</v>
      </c>
      <c r="C4576" s="278" t="str">
        <f>IF(B4576="","",IF($A$8="NÃO DESONERADO",(IF(A4576="SINAPI",VLOOKUP(B4576,#REF!,2,0),IF(A4576="SUDECAP",VLOOKUP(B4576,#REF!,3,0),IF(A4576="SETOP",VLOOKUP(B4576,#REF!,2,0),IF(A4576="COTAÇÃO",VLOOKUP(B4576,'Mapa Cotações'!$A:$N,2,0)))))),(IF(A4576="SINAPI",VLOOKUP(B4576,#REF!,2,0),IF(A4576="SUDECAP",VLOOKUP(B4576,#REF!,3,0),IF(A4576="SETOP",VLOOKUP(B4576,#REF!,2,0),IF(A4576="COTAÇÃO",VLOOKUP(B4576,'Mapa Cotações'!$A:$N,2,0))))))))</f>
        <v>SENSOR DE NÍVEL DE  CO2 PARA AR COM FAIXA DE MEDIDA DE  0 A 2000 PPM. MODELO 22DC-51. SINAL DE  SAÍDA  = 0-10 V (0-5V)  - MICRO-SWITCH. ALIMENTAÇÃO ELÉTRICA (AC/DC) = 24V OBS.: O "SET-POINT" DO SENSOR DEVREÁ SER DE  1.000 PPM.  REF.: BELIMO OU EQUIVALENTE</v>
      </c>
      <c r="D4576" s="89" t="str">
        <f>IF(B4576="","",IF($A$8="NÃO DESONERADO",(IF(A4576="SINAPI",VLOOKUP(B4576,#REF!,3,0),IF(A4576="SUDECAP",VLOOKUP(B4576,#REF!,4,0),IF(A4576="SETOP",VLOOKUP(B4576,#REF!,3,0),IF(A4576="COTAÇÃO",VLOOKUP(B4576,'Mapa Cotações'!$A:$N,3,0)))))),(IF(A4576="SINAPI",VLOOKUP(B4576,#REF!,3,0),IF(A4576="SUDECAP",VLOOKUP(B4576,#REF!,4,0),IF(A4576="SETOP",VLOOKUP(B4576,#REF!,3,0),IF(A4576="COTAÇÃO",VLOOKUP(B4576,'Mapa Cotações'!$A:$N,3,0))))))))</f>
        <v>UN</v>
      </c>
      <c r="E4576" s="88">
        <v>1</v>
      </c>
      <c r="F4576" s="89">
        <f>IF(B4576="","",IF($A$8="NÃO DESONERADO",(IF(A4576="SINAPI",VLOOKUP(B4576,#REF!,4,0),IF(A4576="SUDECAP",VLOOKUP(B4576,#REF!,5,0),IF(A4576="SETOP",VLOOKUP(B4576,#REF!,4,0),IF(A4576="COTAÇÃO",VLOOKUP(B4576,'Mapa Cotações'!$A:$N,13,0)))))),(IF(A4576="SINAPI",VLOOKUP(B4576,#REF!,4,0),IF(A4576="SUDECAP",VLOOKUP(B4576,#REF!,5,0),IF(A4576="SETOP",VLOOKUP(B4576,#REF!,4,0),IF(A4576="COTAÇÃO",VLOOKUP(B4576,'Mapa Cotações'!$A:$N,13,0))))))))</f>
        <v>2750.9</v>
      </c>
      <c r="G4576" s="89">
        <f>IF(D4576="","",E4576*F4576)</f>
        <v>2750.9</v>
      </c>
    </row>
    <row r="4577" spans="1:7">
      <c r="A4577" s="87"/>
      <c r="B4577" s="87"/>
      <c r="C4577" s="278" t="str">
        <f>IF(B4577="","",IF($A$8="NÃO DESONERADO",(IF(A4577="SINAPI",VLOOKUP(B4577,#REF!,2,0),IF(A4577="SUDECAP",VLOOKUP(B4577,#REF!,3,0),IF(A4577="SETOP",VLOOKUP(B4577,#REF!,2,0),IF(A4577="COTAÇÃO",VLOOKUP(B4577,'Mapa Cotações'!$A:$N,2,0)))))),(IF(A4577="SINAPI",VLOOKUP(B4577,#REF!,2,0),IF(A4577="SUDECAP",VLOOKUP(B4577,#REF!,3,0),IF(A4577="SETOP",VLOOKUP(B4577,#REF!,2,0),IF(A4577="COTAÇÃO",VLOOKUP(B4577,'Mapa Cotações'!$A:$N,2,0))))))))</f>
        <v/>
      </c>
      <c r="D4577" s="89" t="str">
        <f>IF(B4577="","",IF($A$8="NÃO DESONERADO",(IF(A4577="SINAPI",VLOOKUP(B4577,#REF!,3,0),IF(A4577="SUDECAP",VLOOKUP(B4577,#REF!,4,0),IF(A4577="SETOP",VLOOKUP(B4577,#REF!,3,0),IF(A4577="COTAÇÃO",VLOOKUP(B4577,'Mapa Cotações'!$A:$N,3,0)))))),(IF(A4577="SINAPI",VLOOKUP(B4577,#REF!,3,0),IF(A4577="SUDECAP",VLOOKUP(B4577,#REF!,4,0),IF(A4577="SETOP",VLOOKUP(B4577,#REF!,3,0),IF(A4577="COTAÇÃO",VLOOKUP(B4577,'Mapa Cotações'!$A:$N,3,0))))))))</f>
        <v/>
      </c>
      <c r="E4577" s="88"/>
      <c r="F4577" s="89" t="str">
        <f>IF(B4577="","",IF($A$8="NÃO DESONERADO",(IF(A4577="SINAPI",VLOOKUP(B4577,#REF!,4,0),IF(A4577="SUDECAP",VLOOKUP(B4577,#REF!,5,0),IF(A4577="SETOP",VLOOKUP(B4577,#REF!,4,0),IF(A4577="COTAÇÃO",VLOOKUP(B4577,'Mapa Cotações'!$A:$N,13,0)))))),(IF(A4577="SINAPI",VLOOKUP(B4577,#REF!,4,0),IF(A4577="SUDECAP",VLOOKUP(B4577,#REF!,5,0),IF(A4577="SETOP",VLOOKUP(B4577,#REF!,4,0),IF(A4577="COTAÇÃO",VLOOKUP(B4577,'Mapa Cotações'!$A:$N,13,0))))))))</f>
        <v/>
      </c>
      <c r="G4577" s="89" t="str">
        <f>IF(D4577="","",E4577*F4577)</f>
        <v/>
      </c>
    </row>
    <row r="4578" spans="1:7">
      <c r="A4578" s="832" t="s">
        <v>1908</v>
      </c>
      <c r="B4578" s="833"/>
      <c r="C4578" s="833"/>
      <c r="D4578" s="833"/>
      <c r="E4578" s="833"/>
      <c r="F4578" s="834"/>
      <c r="G4578" s="90">
        <f>IF(F4576="","",(SUM(G4576:G4577)))</f>
        <v>2750.9</v>
      </c>
    </row>
    <row r="4579" spans="1:7">
      <c r="A4579" s="91"/>
      <c r="B4579" s="92"/>
      <c r="C4579" s="161"/>
      <c r="D4579" s="93"/>
      <c r="E4579" s="94"/>
      <c r="F4579" s="95"/>
      <c r="G4579" s="96"/>
    </row>
    <row r="4580" spans="1:7">
      <c r="A4580" s="835" t="s">
        <v>1909</v>
      </c>
      <c r="B4580" s="836"/>
      <c r="C4580" s="836"/>
      <c r="D4580" s="836"/>
      <c r="E4580" s="836"/>
      <c r="F4580" s="836"/>
      <c r="G4580" s="837"/>
    </row>
    <row r="4581" spans="1:7">
      <c r="A4581" s="84" t="s">
        <v>1903</v>
      </c>
      <c r="B4581" s="84" t="s">
        <v>131</v>
      </c>
      <c r="C4581" s="160" t="s">
        <v>1904</v>
      </c>
      <c r="D4581" s="84" t="s">
        <v>167</v>
      </c>
      <c r="E4581" s="85" t="s">
        <v>1905</v>
      </c>
      <c r="F4581" s="86" t="s">
        <v>1906</v>
      </c>
      <c r="G4581" s="86" t="s">
        <v>1907</v>
      </c>
    </row>
    <row r="4582" spans="1:7" ht="24">
      <c r="A4582" s="87" t="s">
        <v>2</v>
      </c>
      <c r="B4582" s="87">
        <v>88243</v>
      </c>
      <c r="C4582" s="278" t="s">
        <v>2100</v>
      </c>
      <c r="D4582" s="89" t="s">
        <v>137</v>
      </c>
      <c r="E4582" s="88">
        <v>8</v>
      </c>
      <c r="F4582" s="89">
        <v>24.36</v>
      </c>
      <c r="G4582" s="89">
        <f>IF(D4582="","",E4582*F4582)</f>
        <v>194.88</v>
      </c>
    </row>
    <row r="4583" spans="1:7" ht="24">
      <c r="A4583" s="87" t="s">
        <v>2</v>
      </c>
      <c r="B4583" s="87">
        <v>100308</v>
      </c>
      <c r="C4583" s="278" t="s">
        <v>1936</v>
      </c>
      <c r="D4583" s="89" t="s">
        <v>137</v>
      </c>
      <c r="E4583" s="88">
        <v>8</v>
      </c>
      <c r="F4583" s="89">
        <v>25.97</v>
      </c>
      <c r="G4583" s="89">
        <f>IF(D4583="","",E4583*F4583)</f>
        <v>207.76</v>
      </c>
    </row>
    <row r="4584" spans="1:7">
      <c r="A4584" s="87" t="s">
        <v>2</v>
      </c>
      <c r="B4584" s="87">
        <v>88266</v>
      </c>
      <c r="C4584" s="278" t="s">
        <v>2105</v>
      </c>
      <c r="D4584" s="89" t="s">
        <v>2087</v>
      </c>
      <c r="E4584" s="88">
        <v>8</v>
      </c>
      <c r="F4584" s="89">
        <v>34.979999999999997</v>
      </c>
      <c r="G4584" s="89">
        <f>IF(D4584="","",E4584*F4584)</f>
        <v>279.83999999999997</v>
      </c>
    </row>
    <row r="4585" spans="1:7">
      <c r="A4585" s="832" t="s">
        <v>1908</v>
      </c>
      <c r="B4585" s="833"/>
      <c r="C4585" s="833"/>
      <c r="D4585" s="833"/>
      <c r="E4585" s="833"/>
      <c r="F4585" s="834"/>
      <c r="G4585" s="90">
        <f>IF(F4582="","",(SUM(G4582:G4584)))</f>
        <v>682.48</v>
      </c>
    </row>
    <row r="4586" spans="1:7">
      <c r="A4586" s="91"/>
      <c r="B4586" s="92"/>
      <c r="C4586" s="162"/>
      <c r="D4586" s="92"/>
      <c r="E4586" s="97"/>
      <c r="F4586" s="98"/>
      <c r="G4586" s="96"/>
    </row>
    <row r="4587" spans="1:7">
      <c r="A4587" s="835" t="s">
        <v>1912</v>
      </c>
      <c r="B4587" s="836"/>
      <c r="C4587" s="836"/>
      <c r="D4587" s="836"/>
      <c r="E4587" s="836"/>
      <c r="F4587" s="836"/>
      <c r="G4587" s="837"/>
    </row>
    <row r="4588" spans="1:7">
      <c r="A4588" s="84" t="s">
        <v>1903</v>
      </c>
      <c r="B4588" s="84" t="s">
        <v>131</v>
      </c>
      <c r="C4588" s="160" t="s">
        <v>1904</v>
      </c>
      <c r="D4588" s="84" t="s">
        <v>167</v>
      </c>
      <c r="E4588" s="85" t="s">
        <v>1905</v>
      </c>
      <c r="F4588" s="86" t="s">
        <v>1906</v>
      </c>
      <c r="G4588" s="86" t="s">
        <v>1907</v>
      </c>
    </row>
    <row r="4589" spans="1:7">
      <c r="A4589" s="87"/>
      <c r="B4589" s="87"/>
      <c r="C4589" s="278" t="str">
        <f>IF(B4589="","",IF($A$8="NÃO DESONERADO",(IF(A4589="SINAPI",VLOOKUP(B4589,#REF!,2,0),IF(A4589="SUDECAP",VLOOKUP(B4589,#REF!,3,0),IF(A4589="SETOP",VLOOKUP(B4589,#REF!,2,0),IF(A4589="COTAÇÃO",VLOOKUP(B4589,'Mapa Cotações'!$A:$N,2,0)))))),(IF(A4589="SINAPI",VLOOKUP(B4589,#REF!,2,0),IF(A4589="SUDECAP",VLOOKUP(B4589,#REF!,3,0),IF(A4589="SETOP",VLOOKUP(B4589,#REF!,2,0),IF(A4589="COTAÇÃO",VLOOKUP(B4589,'Mapa Cotações'!$A:$N,2,0))))))))</f>
        <v/>
      </c>
      <c r="D4589" s="89" t="str">
        <f>IF(B4589="","",IF($A$8="NÃO DESONERADO",(IF(A4589="SINAPI",VLOOKUP(B4589,#REF!,3,0),IF(A4589="SUDECAP",VLOOKUP(B4589,#REF!,4,0),IF(A4589="SETOP",VLOOKUP(B4589,#REF!,3,0),IF(A4589="COTAÇÃO",VLOOKUP(B4589,'Mapa Cotações'!$A:$N,3,0)))))),(IF(A4589="SINAPI",VLOOKUP(B4589,#REF!,3,0),IF(A4589="SUDECAP",VLOOKUP(B4589,#REF!,4,0),IF(A4589="SETOP",VLOOKUP(B4589,#REF!,3,0),IF(A4589="COTAÇÃO",VLOOKUP(B4589,'Mapa Cotações'!$A:$N,3,0))))))))</f>
        <v/>
      </c>
      <c r="E4589" s="88"/>
      <c r="F4589" s="89" t="str">
        <f>IF(B4589="","",IF($A$8="NÃO DESONERADO",(IF(A4589="SINAPI",VLOOKUP(B4589,#REF!,4,0),IF(A4589="SUDECAP",VLOOKUP(B4589,#REF!,5,0),IF(A4589="SETOP",VLOOKUP(B4589,#REF!,4,0),IF(A4589="COTAÇÃO",VLOOKUP(B4589,'Mapa Cotações'!$A:$N,13,0)))))),(IF(A4589="SINAPI",VLOOKUP(B4589,#REF!,4,0),IF(A4589="SUDECAP",VLOOKUP(B4589,#REF!,5,0),IF(A4589="SETOP",VLOOKUP(B4589,#REF!,4,0),IF(A4589="COTAÇÃO",VLOOKUP(B4589,'Mapa Cotações'!$A:$N,13,0))))))))</f>
        <v/>
      </c>
      <c r="G4589" s="89" t="str">
        <f>IF(D4589="","",E4589*F4589)</f>
        <v/>
      </c>
    </row>
    <row r="4590" spans="1:7">
      <c r="A4590" s="87"/>
      <c r="B4590" s="87"/>
      <c r="C4590" s="278" t="str">
        <f>IF(B4590="","",IF($A$8="NÃO DESONERADO",(IF(A4590="SINAPI",VLOOKUP(B4590,#REF!,2,0),IF(A4590="SUDECAP",VLOOKUP(B4590,#REF!,3,0),IF(A4590="SETOP",VLOOKUP(B4590,#REF!,2,0),IF(A4590="COTAÇÃO",VLOOKUP(B4590,'Mapa Cotações'!$A:$N,2,0)))))),(IF(A4590="SINAPI",VLOOKUP(B4590,#REF!,2,0),IF(A4590="SUDECAP",VLOOKUP(B4590,#REF!,3,0),IF(A4590="SETOP",VLOOKUP(B4590,#REF!,2,0),IF(A4590="COTAÇÃO",VLOOKUP(B4590,'Mapa Cotações'!$A:$N,2,0))))))))</f>
        <v/>
      </c>
      <c r="D4590" s="89" t="str">
        <f>IF(B4590="","",IF($A$8="NÃO DESONERADO",(IF(A4590="SINAPI",VLOOKUP(B4590,#REF!,3,0),IF(A4590="SUDECAP",VLOOKUP(B4590,#REF!,4,0),IF(A4590="SETOP",VLOOKUP(B4590,#REF!,3,0),IF(A4590="COTAÇÃO",VLOOKUP(B4590,'Mapa Cotações'!$A:$N,3,0)))))),(IF(A4590="SINAPI",VLOOKUP(B4590,#REF!,3,0),IF(A4590="SUDECAP",VLOOKUP(B4590,#REF!,4,0),IF(A4590="SETOP",VLOOKUP(B4590,#REF!,3,0),IF(A4590="COTAÇÃO",VLOOKUP(B4590,'Mapa Cotações'!$A:$N,3,0))))))))</f>
        <v/>
      </c>
      <c r="E4590" s="88"/>
      <c r="F4590" s="89" t="str">
        <f>IF(B4590="","",IF($A$8="NÃO DESONERADO",(IF(A4590="SINAPI",VLOOKUP(B4590,#REF!,4,0),IF(A4590="SUDECAP",VLOOKUP(B4590,#REF!,5,0),IF(A4590="SETOP",VLOOKUP(B4590,#REF!,4,0),IF(A4590="COTAÇÃO",VLOOKUP(B4590,'Mapa Cotações'!$A:$N,13,0)))))),(IF(A4590="SINAPI",VLOOKUP(B4590,#REF!,4,0),IF(A4590="SUDECAP",VLOOKUP(B4590,#REF!,5,0),IF(A4590="SETOP",VLOOKUP(B4590,#REF!,4,0),IF(A4590="COTAÇÃO",VLOOKUP(B4590,'Mapa Cotações'!$A:$N,13,0))))))))</f>
        <v/>
      </c>
      <c r="G4590" s="89" t="str">
        <f>IF(D4590="","",E4590*F4590)</f>
        <v/>
      </c>
    </row>
    <row r="4591" spans="1:7">
      <c r="A4591" s="832" t="s">
        <v>1908</v>
      </c>
      <c r="B4591" s="833" t="s">
        <v>1908</v>
      </c>
      <c r="C4591" s="833"/>
      <c r="D4591" s="833"/>
      <c r="E4591" s="833"/>
      <c r="F4591" s="834"/>
      <c r="G4591" s="90" t="str">
        <f>IF(F4589="","",(SUM(G4589:G4590)))</f>
        <v/>
      </c>
    </row>
    <row r="4592" spans="1:7" ht="13.5" thickBot="1">
      <c r="A4592" s="91"/>
      <c r="B4592" s="92"/>
      <c r="C4592" s="163"/>
      <c r="D4592" s="99"/>
      <c r="E4592" s="100"/>
      <c r="F4592" s="101"/>
      <c r="G4592" s="102"/>
    </row>
    <row r="4593" spans="1:11" ht="13.5" thickBot="1">
      <c r="A4593" s="838" t="s">
        <v>1259</v>
      </c>
      <c r="B4593" s="839"/>
      <c r="C4593" s="839"/>
      <c r="D4593" s="839"/>
      <c r="E4593" s="839"/>
      <c r="F4593" s="840"/>
      <c r="G4593" s="103">
        <f>SUM(G4578,G4585,G4591)</f>
        <v>3433.38</v>
      </c>
    </row>
    <row r="4596" spans="1:11">
      <c r="A4596" s="237" t="s">
        <v>131</v>
      </c>
      <c r="B4596" s="190" t="s">
        <v>27</v>
      </c>
      <c r="C4596" s="841" t="s">
        <v>1281</v>
      </c>
      <c r="D4596" s="841"/>
      <c r="E4596" s="841"/>
      <c r="F4596" s="841"/>
      <c r="G4596" s="81" t="s">
        <v>127</v>
      </c>
      <c r="I4596" s="480" t="s">
        <v>1901</v>
      </c>
      <c r="J4596" s="80"/>
      <c r="K4596" s="80"/>
    </row>
    <row r="4597" spans="1:11" ht="63" customHeight="1">
      <c r="A4597" s="179" t="s">
        <v>1164</v>
      </c>
      <c r="B4597" s="82"/>
      <c r="C4597" s="858" t="s">
        <v>2157</v>
      </c>
      <c r="D4597" s="859"/>
      <c r="E4597" s="859"/>
      <c r="F4597" s="186">
        <f>G4616</f>
        <v>3494.2</v>
      </c>
      <c r="G4597" s="83" t="s">
        <v>167</v>
      </c>
      <c r="I4597" s="481"/>
      <c r="J4597" s="272"/>
      <c r="K4597" s="272"/>
    </row>
    <row r="4598" spans="1:11">
      <c r="A4598" s="818" t="s">
        <v>1902</v>
      </c>
      <c r="B4598" s="819"/>
      <c r="C4598" s="819"/>
      <c r="D4598" s="819"/>
      <c r="E4598" s="819"/>
      <c r="F4598" s="819"/>
      <c r="G4598" s="820"/>
    </row>
    <row r="4599" spans="1:11">
      <c r="A4599" s="84" t="s">
        <v>1903</v>
      </c>
      <c r="B4599" s="84" t="s">
        <v>131</v>
      </c>
      <c r="C4599" s="160" t="s">
        <v>1904</v>
      </c>
      <c r="D4599" s="84" t="s">
        <v>167</v>
      </c>
      <c r="E4599" s="85" t="s">
        <v>1905</v>
      </c>
      <c r="F4599" s="86" t="s">
        <v>1906</v>
      </c>
      <c r="G4599" s="86" t="s">
        <v>1907</v>
      </c>
    </row>
    <row r="4600" spans="1:11" ht="60">
      <c r="A4600" s="87" t="s">
        <v>1917</v>
      </c>
      <c r="B4600" s="87" t="s">
        <v>2158</v>
      </c>
      <c r="C4600" s="278" t="str">
        <f>IF(B4600="","",IF($A$8="NÃO DESONERADO",(IF(A4600="SINAPI",VLOOKUP(B4600,#REF!,2,0),IF(A4600="SUDECAP",VLOOKUP(B4600,#REF!,3,0),IF(A4600="SETOP",VLOOKUP(B4600,#REF!,2,0),IF(A4600="COTAÇÃO",VLOOKUP(B4600,'Mapa Cotações'!$A:$N,2,0)))))),(IF(A4600="SINAPI",VLOOKUP(B4600,#REF!,2,0),IF(A4600="SUDECAP",VLOOKUP(B4600,#REF!,3,0),IF(A4600="SETOP",VLOOKUP(B4600,#REF!,2,0),IF(A4600="COTAÇÃO",VLOOKUP(B4600,'Mapa Cotações'!$A:$N,2,0))))))))</f>
        <v>ATUADOR PROPORCIONAL ACOPLAMENTO DIRETO TORQUE 180 IN.LB(20NM). MODELO AMB24-SR.  SINAL DE  CONTROLE  = 0-10 V (4-20MA). ALIMENTAÇÃO ELÉTRICA (AC/DC) = 24V
OBS.: O ATUADOR DEVERÁ PARAR NO FINAL DO CURSO. REF.: BELIMO OU EQUIVALENTE</v>
      </c>
      <c r="D4600" s="89" t="str">
        <f>IF(B4600="","",IF($A$8="NÃO DESONERADO",(IF(A4600="SINAPI",VLOOKUP(B4600,#REF!,3,0),IF(A4600="SUDECAP",VLOOKUP(B4600,#REF!,4,0),IF(A4600="SETOP",VLOOKUP(B4600,#REF!,3,0),IF(A4600="COTAÇÃO",VLOOKUP(B4600,'Mapa Cotações'!$A:$N,3,0)))))),(IF(A4600="SINAPI",VLOOKUP(B4600,#REF!,3,0),IF(A4600="SUDECAP",VLOOKUP(B4600,#REF!,4,0),IF(A4600="SETOP",VLOOKUP(B4600,#REF!,3,0),IF(A4600="COTAÇÃO",VLOOKUP(B4600,'Mapa Cotações'!$A:$N,3,0))))))))</f>
        <v>UN</v>
      </c>
      <c r="E4600" s="88">
        <v>1</v>
      </c>
      <c r="F4600" s="89">
        <f>IF(B4600="","",IF($A$8="NÃO DESONERADO",(IF(A4600="SINAPI",VLOOKUP(B4600,#REF!,4,0),IF(A4600="SUDECAP",VLOOKUP(B4600,#REF!,5,0),IF(A4600="SETOP",VLOOKUP(B4600,#REF!,4,0),IF(A4600="COTAÇÃO",VLOOKUP(B4600,'Mapa Cotações'!$A:$N,13,0)))))),(IF(A4600="SINAPI",VLOOKUP(B4600,#REF!,4,0),IF(A4600="SUDECAP",VLOOKUP(B4600,#REF!,5,0),IF(A4600="SETOP",VLOOKUP(B4600,#REF!,4,0),IF(A4600="COTAÇÃO",VLOOKUP(B4600,'Mapa Cotações'!$A:$N,13,0))))))))</f>
        <v>2990.9</v>
      </c>
      <c r="G4600" s="89">
        <f>IF(D4600="","",E4600*F4600)</f>
        <v>2990.9</v>
      </c>
    </row>
    <row r="4601" spans="1:11">
      <c r="A4601" s="87"/>
      <c r="B4601" s="87"/>
      <c r="C4601" s="278" t="str">
        <f>IF(B4601="","",IF($A$8="NÃO DESONERADO",(IF(A4601="SINAPI",VLOOKUP(B4601,#REF!,2,0),IF(A4601="SUDECAP",VLOOKUP(B4601,#REF!,3,0),IF(A4601="SETOP",VLOOKUP(B4601,#REF!,2,0),IF(A4601="COTAÇÃO",VLOOKUP(B4601,'Mapa Cotações'!$A:$N,2,0)))))),(IF(A4601="SINAPI",VLOOKUP(B4601,#REF!,2,0),IF(A4601="SUDECAP",VLOOKUP(B4601,#REF!,3,0),IF(A4601="SETOP",VLOOKUP(B4601,#REF!,2,0),IF(A4601="COTAÇÃO",VLOOKUP(B4601,'Mapa Cotações'!$A:$N,2,0))))))))</f>
        <v/>
      </c>
      <c r="D4601" s="89" t="str">
        <f>IF(B4601="","",IF($A$8="NÃO DESONERADO",(IF(A4601="SINAPI",VLOOKUP(B4601,#REF!,3,0),IF(A4601="SUDECAP",VLOOKUP(B4601,#REF!,4,0),IF(A4601="SETOP",VLOOKUP(B4601,#REF!,3,0),IF(A4601="COTAÇÃO",VLOOKUP(B4601,'Mapa Cotações'!$A:$N,3,0)))))),(IF(A4601="SINAPI",VLOOKUP(B4601,#REF!,3,0),IF(A4601="SUDECAP",VLOOKUP(B4601,#REF!,4,0),IF(A4601="SETOP",VLOOKUP(B4601,#REF!,3,0),IF(A4601="COTAÇÃO",VLOOKUP(B4601,'Mapa Cotações'!$A:$N,3,0))))))))</f>
        <v/>
      </c>
      <c r="E4601" s="88"/>
      <c r="F4601" s="89" t="str">
        <f>IF(B4601="","",IF($A$8="NÃO DESONERADO",(IF(A4601="SINAPI",VLOOKUP(B4601,#REF!,4,0),IF(A4601="SUDECAP",VLOOKUP(B4601,#REF!,5,0),IF(A4601="SETOP",VLOOKUP(B4601,#REF!,4,0),IF(A4601="COTAÇÃO",VLOOKUP(B4601,'Mapa Cotações'!$A:$N,13,0)))))),(IF(A4601="SINAPI",VLOOKUP(B4601,#REF!,4,0),IF(A4601="SUDECAP",VLOOKUP(B4601,#REF!,5,0),IF(A4601="SETOP",VLOOKUP(B4601,#REF!,4,0),IF(A4601="COTAÇÃO",VLOOKUP(B4601,'Mapa Cotações'!$A:$N,13,0))))))))</f>
        <v/>
      </c>
      <c r="G4601" s="89" t="str">
        <f>IF(D4601="","",E4601*F4601)</f>
        <v/>
      </c>
    </row>
    <row r="4602" spans="1:11">
      <c r="A4602" s="832" t="s">
        <v>1908</v>
      </c>
      <c r="B4602" s="833"/>
      <c r="C4602" s="833"/>
      <c r="D4602" s="833"/>
      <c r="E4602" s="833"/>
      <c r="F4602" s="834"/>
      <c r="G4602" s="90">
        <f>IF(F4600="","",(SUM(G4600:G4601)))</f>
        <v>2990.9</v>
      </c>
    </row>
    <row r="4603" spans="1:11">
      <c r="A4603" s="91"/>
      <c r="B4603" s="92"/>
      <c r="C4603" s="161"/>
      <c r="D4603" s="93"/>
      <c r="E4603" s="94"/>
      <c r="F4603" s="95"/>
      <c r="G4603" s="96"/>
    </row>
    <row r="4604" spans="1:11">
      <c r="A4604" s="835" t="s">
        <v>1909</v>
      </c>
      <c r="B4604" s="836"/>
      <c r="C4604" s="836"/>
      <c r="D4604" s="836"/>
      <c r="E4604" s="836"/>
      <c r="F4604" s="836"/>
      <c r="G4604" s="837"/>
    </row>
    <row r="4605" spans="1:11">
      <c r="A4605" s="84" t="s">
        <v>1903</v>
      </c>
      <c r="B4605" s="84" t="s">
        <v>131</v>
      </c>
      <c r="C4605" s="160" t="s">
        <v>1904</v>
      </c>
      <c r="D4605" s="84" t="s">
        <v>167</v>
      </c>
      <c r="E4605" s="85" t="s">
        <v>1905</v>
      </c>
      <c r="F4605" s="86" t="s">
        <v>1906</v>
      </c>
      <c r="G4605" s="86" t="s">
        <v>1907</v>
      </c>
    </row>
    <row r="4606" spans="1:11" ht="24">
      <c r="A4606" s="87" t="s">
        <v>2</v>
      </c>
      <c r="B4606" s="87">
        <v>88243</v>
      </c>
      <c r="C4606" s="278" t="s">
        <v>2100</v>
      </c>
      <c r="D4606" s="89" t="s">
        <v>137</v>
      </c>
      <c r="E4606" s="88">
        <v>10</v>
      </c>
      <c r="F4606" s="89">
        <v>24.36</v>
      </c>
      <c r="G4606" s="89">
        <f>IF(D4606="","",E4606*F4606)</f>
        <v>243.6</v>
      </c>
    </row>
    <row r="4607" spans="1:11" ht="24">
      <c r="A4607" s="87" t="s">
        <v>2</v>
      </c>
      <c r="B4607" s="87">
        <v>100308</v>
      </c>
      <c r="C4607" s="278" t="s">
        <v>1936</v>
      </c>
      <c r="D4607" s="89" t="s">
        <v>137</v>
      </c>
      <c r="E4607" s="88">
        <v>10</v>
      </c>
      <c r="F4607" s="89">
        <v>25.97</v>
      </c>
      <c r="G4607" s="89">
        <f>IF(D4607="","",E4607*F4607)</f>
        <v>259.7</v>
      </c>
    </row>
    <row r="4608" spans="1:11">
      <c r="A4608" s="832" t="s">
        <v>1908</v>
      </c>
      <c r="B4608" s="833"/>
      <c r="C4608" s="833"/>
      <c r="D4608" s="833"/>
      <c r="E4608" s="833"/>
      <c r="F4608" s="834"/>
      <c r="G4608" s="90">
        <f>IF(F4606="","",(SUM(G4606:G4607)))</f>
        <v>503.29999999999995</v>
      </c>
    </row>
    <row r="4609" spans="1:11">
      <c r="A4609" s="91"/>
      <c r="B4609" s="92"/>
      <c r="C4609" s="162"/>
      <c r="D4609" s="92"/>
      <c r="E4609" s="97"/>
      <c r="F4609" s="98"/>
      <c r="G4609" s="96"/>
    </row>
    <row r="4610" spans="1:11">
      <c r="A4610" s="835" t="s">
        <v>1912</v>
      </c>
      <c r="B4610" s="836"/>
      <c r="C4610" s="836"/>
      <c r="D4610" s="836"/>
      <c r="E4610" s="836"/>
      <c r="F4610" s="836"/>
      <c r="G4610" s="837"/>
    </row>
    <row r="4611" spans="1:11">
      <c r="A4611" s="84" t="s">
        <v>1903</v>
      </c>
      <c r="B4611" s="84" t="s">
        <v>131</v>
      </c>
      <c r="C4611" s="160" t="s">
        <v>1904</v>
      </c>
      <c r="D4611" s="84" t="s">
        <v>167</v>
      </c>
      <c r="E4611" s="85" t="s">
        <v>1905</v>
      </c>
      <c r="F4611" s="86" t="s">
        <v>1906</v>
      </c>
      <c r="G4611" s="86" t="s">
        <v>1907</v>
      </c>
    </row>
    <row r="4612" spans="1:11">
      <c r="A4612" s="87"/>
      <c r="B4612" s="87"/>
      <c r="C4612" s="278" t="str">
        <f>IF(B4612="","",IF($A$8="NÃO DESONERADO",(IF(A4612="SINAPI",VLOOKUP(B4612,#REF!,2,0),IF(A4612="SUDECAP",VLOOKUP(B4612,#REF!,3,0),IF(A4612="SETOP",VLOOKUP(B4612,#REF!,2,0),IF(A4612="COTAÇÃO",VLOOKUP(B4612,'Mapa Cotações'!$A:$N,2,0)))))),(IF(A4612="SINAPI",VLOOKUP(B4612,#REF!,2,0),IF(A4612="SUDECAP",VLOOKUP(B4612,#REF!,3,0),IF(A4612="SETOP",VLOOKUP(B4612,#REF!,2,0),IF(A4612="COTAÇÃO",VLOOKUP(B4612,'Mapa Cotações'!$A:$N,2,0))))))))</f>
        <v/>
      </c>
      <c r="D4612" s="89" t="str">
        <f>IF(B4612="","",IF($A$8="NÃO DESONERADO",(IF(A4612="SINAPI",VLOOKUP(B4612,#REF!,3,0),IF(A4612="SUDECAP",VLOOKUP(B4612,#REF!,4,0),IF(A4612="SETOP",VLOOKUP(B4612,#REF!,3,0),IF(A4612="COTAÇÃO",VLOOKUP(B4612,'Mapa Cotações'!$A:$N,3,0)))))),(IF(A4612="SINAPI",VLOOKUP(B4612,#REF!,3,0),IF(A4612="SUDECAP",VLOOKUP(B4612,#REF!,4,0),IF(A4612="SETOP",VLOOKUP(B4612,#REF!,3,0),IF(A4612="COTAÇÃO",VLOOKUP(B4612,'Mapa Cotações'!$A:$N,3,0))))))))</f>
        <v/>
      </c>
      <c r="E4612" s="88"/>
      <c r="F4612" s="89" t="str">
        <f>IF(B4612="","",IF($A$8="NÃO DESONERADO",(IF(A4612="SINAPI",VLOOKUP(B4612,#REF!,4,0),IF(A4612="SUDECAP",VLOOKUP(B4612,#REF!,5,0),IF(A4612="SETOP",VLOOKUP(B4612,#REF!,4,0),IF(A4612="COTAÇÃO",VLOOKUP(B4612,'Mapa Cotações'!$A:$N,13,0)))))),(IF(A4612="SINAPI",VLOOKUP(B4612,#REF!,4,0),IF(A4612="SUDECAP",VLOOKUP(B4612,#REF!,5,0),IF(A4612="SETOP",VLOOKUP(B4612,#REF!,4,0),IF(A4612="COTAÇÃO",VLOOKUP(B4612,'Mapa Cotações'!$A:$N,13,0))))))))</f>
        <v/>
      </c>
      <c r="G4612" s="89" t="str">
        <f>IF(D4612="","",E4612*F4612)</f>
        <v/>
      </c>
    </row>
    <row r="4613" spans="1:11">
      <c r="A4613" s="87"/>
      <c r="B4613" s="87"/>
      <c r="C4613" s="278" t="str">
        <f>IF(B4613="","",IF($A$8="NÃO DESONERADO",(IF(A4613="SINAPI",VLOOKUP(B4613,#REF!,2,0),IF(A4613="SUDECAP",VLOOKUP(B4613,#REF!,3,0),IF(A4613="SETOP",VLOOKUP(B4613,#REF!,2,0),IF(A4613="COTAÇÃO",VLOOKUP(B4613,'Mapa Cotações'!$A:$N,2,0)))))),(IF(A4613="SINAPI",VLOOKUP(B4613,#REF!,2,0),IF(A4613="SUDECAP",VLOOKUP(B4613,#REF!,3,0),IF(A4613="SETOP",VLOOKUP(B4613,#REF!,2,0),IF(A4613="COTAÇÃO",VLOOKUP(B4613,'Mapa Cotações'!$A:$N,2,0))))))))</f>
        <v/>
      </c>
      <c r="D4613" s="89" t="str">
        <f>IF(B4613="","",IF($A$8="NÃO DESONERADO",(IF(A4613="SINAPI",VLOOKUP(B4613,#REF!,3,0),IF(A4613="SUDECAP",VLOOKUP(B4613,#REF!,4,0),IF(A4613="SETOP",VLOOKUP(B4613,#REF!,3,0),IF(A4613="COTAÇÃO",VLOOKUP(B4613,'Mapa Cotações'!$A:$N,3,0)))))),(IF(A4613="SINAPI",VLOOKUP(B4613,#REF!,3,0),IF(A4613="SUDECAP",VLOOKUP(B4613,#REF!,4,0),IF(A4613="SETOP",VLOOKUP(B4613,#REF!,3,0),IF(A4613="COTAÇÃO",VLOOKUP(B4613,'Mapa Cotações'!$A:$N,3,0))))))))</f>
        <v/>
      </c>
      <c r="E4613" s="88"/>
      <c r="F4613" s="89" t="str">
        <f>IF(B4613="","",IF($A$8="NÃO DESONERADO",(IF(A4613="SINAPI",VLOOKUP(B4613,#REF!,4,0),IF(A4613="SUDECAP",VLOOKUP(B4613,#REF!,5,0),IF(A4613="SETOP",VLOOKUP(B4613,#REF!,4,0),IF(A4613="COTAÇÃO",VLOOKUP(B4613,'Mapa Cotações'!$A:$N,13,0)))))),(IF(A4613="SINAPI",VLOOKUP(B4613,#REF!,4,0),IF(A4613="SUDECAP",VLOOKUP(B4613,#REF!,5,0),IF(A4613="SETOP",VLOOKUP(B4613,#REF!,4,0),IF(A4613="COTAÇÃO",VLOOKUP(B4613,'Mapa Cotações'!$A:$N,13,0))))))))</f>
        <v/>
      </c>
      <c r="G4613" s="89" t="str">
        <f>IF(D4613="","",E4613*F4613)</f>
        <v/>
      </c>
    </row>
    <row r="4614" spans="1:11">
      <c r="A4614" s="832" t="s">
        <v>1908</v>
      </c>
      <c r="B4614" s="833" t="s">
        <v>1908</v>
      </c>
      <c r="C4614" s="833"/>
      <c r="D4614" s="833"/>
      <c r="E4614" s="833"/>
      <c r="F4614" s="834"/>
      <c r="G4614" s="90" t="str">
        <f>IF(F4612="","",(SUM(G4612:G4613)))</f>
        <v/>
      </c>
    </row>
    <row r="4615" spans="1:11" ht="13.5" thickBot="1">
      <c r="A4615" s="91"/>
      <c r="B4615" s="92"/>
      <c r="C4615" s="163"/>
      <c r="D4615" s="99"/>
      <c r="E4615" s="100"/>
      <c r="F4615" s="101"/>
      <c r="G4615" s="102"/>
    </row>
    <row r="4616" spans="1:11" ht="13.5" thickBot="1">
      <c r="A4616" s="838" t="s">
        <v>1259</v>
      </c>
      <c r="B4616" s="839"/>
      <c r="C4616" s="839"/>
      <c r="D4616" s="839"/>
      <c r="E4616" s="839"/>
      <c r="F4616" s="840"/>
      <c r="G4616" s="103">
        <f>SUM(G4602,G4608,G4614)</f>
        <v>3494.2</v>
      </c>
    </row>
    <row r="4619" spans="1:11">
      <c r="A4619" s="237" t="s">
        <v>131</v>
      </c>
      <c r="B4619" s="190" t="s">
        <v>27</v>
      </c>
      <c r="C4619" s="841" t="s">
        <v>1281</v>
      </c>
      <c r="D4619" s="841"/>
      <c r="E4619" s="841"/>
      <c r="F4619" s="841"/>
      <c r="G4619" s="81" t="s">
        <v>127</v>
      </c>
      <c r="I4619" s="480" t="s">
        <v>1901</v>
      </c>
      <c r="J4619" s="80"/>
      <c r="K4619" s="80"/>
    </row>
    <row r="4620" spans="1:11" ht="50.1" customHeight="1">
      <c r="A4620" s="179" t="s">
        <v>1169</v>
      </c>
      <c r="B4620" s="82"/>
      <c r="C4620" s="830" t="s">
        <v>1842</v>
      </c>
      <c r="D4620" s="831"/>
      <c r="E4620" s="831"/>
      <c r="F4620" s="186">
        <f>G4641</f>
        <v>30.404355000000002</v>
      </c>
      <c r="G4620" s="83" t="s">
        <v>1171</v>
      </c>
      <c r="I4620" s="481"/>
      <c r="J4620" s="272"/>
      <c r="K4620" s="272"/>
    </row>
    <row r="4621" spans="1:11">
      <c r="A4621" s="818" t="s">
        <v>1902</v>
      </c>
      <c r="B4621" s="819"/>
      <c r="C4621" s="819"/>
      <c r="D4621" s="819"/>
      <c r="E4621" s="819"/>
      <c r="F4621" s="819"/>
      <c r="G4621" s="820"/>
    </row>
    <row r="4622" spans="1:11">
      <c r="A4622" s="84" t="s">
        <v>1903</v>
      </c>
      <c r="B4622" s="84" t="s">
        <v>131</v>
      </c>
      <c r="C4622" s="160" t="s">
        <v>1904</v>
      </c>
      <c r="D4622" s="84" t="s">
        <v>167</v>
      </c>
      <c r="E4622" s="85" t="s">
        <v>1905</v>
      </c>
      <c r="F4622" s="86" t="s">
        <v>1906</v>
      </c>
      <c r="G4622" s="86" t="s">
        <v>1907</v>
      </c>
    </row>
    <row r="4623" spans="1:11" ht="48">
      <c r="A4623" s="87" t="s">
        <v>2</v>
      </c>
      <c r="B4623" s="87">
        <v>43668</v>
      </c>
      <c r="C4623" s="278" t="s">
        <v>2159</v>
      </c>
      <c r="D4623" s="89" t="s">
        <v>1171</v>
      </c>
      <c r="E4623" s="88">
        <v>1.3</v>
      </c>
      <c r="F4623" s="89">
        <v>10.39</v>
      </c>
      <c r="G4623" s="89">
        <f>IF(D4623="","",E4623*F4623)</f>
        <v>13.507000000000001</v>
      </c>
    </row>
    <row r="4624" spans="1:11" ht="60">
      <c r="A4624" s="87" t="s">
        <v>3</v>
      </c>
      <c r="B4624" s="87" t="s">
        <v>1966</v>
      </c>
      <c r="C4624" s="278" t="s">
        <v>1967</v>
      </c>
      <c r="D4624" s="89" t="s">
        <v>180</v>
      </c>
      <c r="E4624" s="88">
        <v>0.04</v>
      </c>
      <c r="F4624" s="89">
        <v>15.97</v>
      </c>
      <c r="G4624" s="89">
        <f>IF(D4624="","",E4624*F4624)</f>
        <v>0.63880000000000003</v>
      </c>
    </row>
    <row r="4625" spans="1:7">
      <c r="A4625" s="832" t="s">
        <v>1908</v>
      </c>
      <c r="B4625" s="833"/>
      <c r="C4625" s="833"/>
      <c r="D4625" s="833"/>
      <c r="E4625" s="833"/>
      <c r="F4625" s="834"/>
      <c r="G4625" s="90">
        <f>IF(F4623="","",(SUM(G4623:G4624)))</f>
        <v>14.145800000000001</v>
      </c>
    </row>
    <row r="4626" spans="1:7">
      <c r="A4626" s="91"/>
      <c r="B4626" s="92"/>
      <c r="C4626" s="161"/>
      <c r="D4626" s="93"/>
      <c r="E4626" s="94"/>
      <c r="F4626" s="95"/>
      <c r="G4626" s="96"/>
    </row>
    <row r="4627" spans="1:7">
      <c r="A4627" s="835" t="s">
        <v>1909</v>
      </c>
      <c r="B4627" s="836"/>
      <c r="C4627" s="836"/>
      <c r="D4627" s="836"/>
      <c r="E4627" s="836"/>
      <c r="F4627" s="836"/>
      <c r="G4627" s="837"/>
    </row>
    <row r="4628" spans="1:7">
      <c r="A4628" s="84" t="s">
        <v>1903</v>
      </c>
      <c r="B4628" s="84" t="s">
        <v>131</v>
      </c>
      <c r="C4628" s="160" t="s">
        <v>1904</v>
      </c>
      <c r="D4628" s="84" t="s">
        <v>167</v>
      </c>
      <c r="E4628" s="85" t="s">
        <v>1905</v>
      </c>
      <c r="F4628" s="86" t="s">
        <v>1906</v>
      </c>
      <c r="G4628" s="86" t="s">
        <v>1907</v>
      </c>
    </row>
    <row r="4629" spans="1:7" ht="24">
      <c r="A4629" s="87" t="s">
        <v>2</v>
      </c>
      <c r="B4629" s="87">
        <v>88243</v>
      </c>
      <c r="C4629" s="278" t="s">
        <v>2100</v>
      </c>
      <c r="D4629" s="89" t="s">
        <v>137</v>
      </c>
      <c r="E4629" s="88">
        <v>0.44</v>
      </c>
      <c r="F4629" s="89">
        <v>20.98</v>
      </c>
      <c r="G4629" s="89">
        <f>IF(D4629="","",E4629*F4629)</f>
        <v>9.2311999999999994</v>
      </c>
    </row>
    <row r="4630" spans="1:7" ht="24">
      <c r="A4630" s="87" t="s">
        <v>2</v>
      </c>
      <c r="B4630" s="87">
        <v>100308</v>
      </c>
      <c r="C4630" s="278" t="s">
        <v>1936</v>
      </c>
      <c r="D4630" s="89" t="s">
        <v>137</v>
      </c>
      <c r="E4630" s="88">
        <v>0.22</v>
      </c>
      <c r="F4630" s="89">
        <v>25.97</v>
      </c>
      <c r="G4630" s="89">
        <f>IF(D4630="","",E4630*F4630)</f>
        <v>5.7134</v>
      </c>
    </row>
    <row r="4631" spans="1:7">
      <c r="A4631" s="832" t="s">
        <v>1908</v>
      </c>
      <c r="B4631" s="833"/>
      <c r="C4631" s="833"/>
      <c r="D4631" s="833"/>
      <c r="E4631" s="833"/>
      <c r="F4631" s="834"/>
      <c r="G4631" s="90">
        <f>IF(F4629="","",(SUM(G4629:G4630)))</f>
        <v>14.944599999999999</v>
      </c>
    </row>
    <row r="4632" spans="1:7">
      <c r="A4632" s="91"/>
      <c r="B4632" s="92"/>
      <c r="C4632" s="162"/>
      <c r="D4632" s="92"/>
      <c r="E4632" s="97"/>
      <c r="F4632" s="98"/>
      <c r="G4632" s="96"/>
    </row>
    <row r="4633" spans="1:7">
      <c r="A4633" s="835" t="s">
        <v>1912</v>
      </c>
      <c r="B4633" s="836"/>
      <c r="C4633" s="836"/>
      <c r="D4633" s="836"/>
      <c r="E4633" s="836"/>
      <c r="F4633" s="836"/>
      <c r="G4633" s="837"/>
    </row>
    <row r="4634" spans="1:7">
      <c r="A4634" s="84" t="s">
        <v>1903</v>
      </c>
      <c r="B4634" s="84" t="s">
        <v>131</v>
      </c>
      <c r="C4634" s="160" t="s">
        <v>1904</v>
      </c>
      <c r="D4634" s="84" t="s">
        <v>167</v>
      </c>
      <c r="E4634" s="85" t="s">
        <v>1905</v>
      </c>
      <c r="F4634" s="86" t="s">
        <v>1906</v>
      </c>
      <c r="G4634" s="86" t="s">
        <v>1907</v>
      </c>
    </row>
    <row r="4635" spans="1:7" ht="36">
      <c r="A4635" s="87" t="s">
        <v>3</v>
      </c>
      <c r="B4635" s="87" t="s">
        <v>2160</v>
      </c>
      <c r="C4635" s="278" t="s">
        <v>2161</v>
      </c>
      <c r="D4635" s="89" t="s">
        <v>180</v>
      </c>
      <c r="E4635" s="88">
        <v>3.5000000000000003E-2</v>
      </c>
      <c r="F4635" s="89">
        <v>14.76</v>
      </c>
      <c r="G4635" s="89">
        <f>IF(D4635="","",E4635*F4635)</f>
        <v>0.51660000000000006</v>
      </c>
    </row>
    <row r="4636" spans="1:7" ht="37.15" customHeight="1">
      <c r="A4636" s="87" t="s">
        <v>3</v>
      </c>
      <c r="B4636" s="87" t="s">
        <v>2162</v>
      </c>
      <c r="C4636" s="278" t="s">
        <v>2163</v>
      </c>
      <c r="D4636" s="89" t="s">
        <v>2164</v>
      </c>
      <c r="E4636" s="88">
        <v>0.05</v>
      </c>
      <c r="F4636" s="88">
        <v>15.4635</v>
      </c>
      <c r="G4636" s="89">
        <f>IF(D4636="","",E4636*F4636)</f>
        <v>0.77317500000000006</v>
      </c>
    </row>
    <row r="4637" spans="1:7" ht="37.15" customHeight="1">
      <c r="A4637" s="87" t="s">
        <v>3</v>
      </c>
      <c r="B4637" s="87" t="s">
        <v>2165</v>
      </c>
      <c r="C4637" s="278" t="s">
        <v>2166</v>
      </c>
      <c r="D4637" s="89" t="s">
        <v>167</v>
      </c>
      <c r="E4637" s="88">
        <v>0.1</v>
      </c>
      <c r="F4637" s="88">
        <v>0.13100000000000001</v>
      </c>
      <c r="G4637" s="89">
        <f>IF(D4637="","",E4637*F4637)</f>
        <v>1.3100000000000001E-2</v>
      </c>
    </row>
    <row r="4638" spans="1:7" ht="37.15" customHeight="1">
      <c r="A4638" s="87" t="s">
        <v>3</v>
      </c>
      <c r="B4638" s="87" t="s">
        <v>2167</v>
      </c>
      <c r="C4638" s="278" t="s">
        <v>2168</v>
      </c>
      <c r="D4638" s="89" t="s">
        <v>167</v>
      </c>
      <c r="E4638" s="88">
        <v>0.1</v>
      </c>
      <c r="F4638" s="88">
        <v>0.1108</v>
      </c>
      <c r="G4638" s="89">
        <f>IF(D4638="","",E4638*F4638)</f>
        <v>1.108E-2</v>
      </c>
    </row>
    <row r="4639" spans="1:7">
      <c r="A4639" s="832" t="s">
        <v>1908</v>
      </c>
      <c r="B4639" s="833" t="s">
        <v>1908</v>
      </c>
      <c r="C4639" s="833"/>
      <c r="D4639" s="833"/>
      <c r="E4639" s="833"/>
      <c r="F4639" s="834"/>
      <c r="G4639" s="90">
        <f>SUM(G4635:G4638)</f>
        <v>1.3139550000000002</v>
      </c>
    </row>
    <row r="4640" spans="1:7" ht="13.5" thickBot="1">
      <c r="A4640" s="91"/>
      <c r="B4640" s="92"/>
      <c r="C4640" s="163"/>
      <c r="D4640" s="99"/>
      <c r="E4640" s="100"/>
      <c r="F4640" s="101"/>
      <c r="G4640" s="102"/>
    </row>
    <row r="4641" spans="1:11" ht="13.5" thickBot="1">
      <c r="A4641" s="838" t="s">
        <v>1259</v>
      </c>
      <c r="B4641" s="839"/>
      <c r="C4641" s="839"/>
      <c r="D4641" s="839"/>
      <c r="E4641" s="839"/>
      <c r="F4641" s="840"/>
      <c r="G4641" s="103">
        <f>SUM(G4625,G4631,G4639)</f>
        <v>30.404355000000002</v>
      </c>
    </row>
    <row r="4644" spans="1:11">
      <c r="A4644" s="237" t="s">
        <v>131</v>
      </c>
      <c r="B4644" s="190" t="s">
        <v>27</v>
      </c>
      <c r="C4644" s="841" t="s">
        <v>1281</v>
      </c>
      <c r="D4644" s="841"/>
      <c r="E4644" s="841"/>
      <c r="F4644" s="841"/>
      <c r="G4644" s="81" t="s">
        <v>127</v>
      </c>
      <c r="I4644" s="480" t="s">
        <v>1901</v>
      </c>
      <c r="J4644" s="80"/>
      <c r="K4644" s="80"/>
    </row>
    <row r="4645" spans="1:11" ht="50.1" customHeight="1">
      <c r="A4645" s="179" t="s">
        <v>1173</v>
      </c>
      <c r="B4645" s="82"/>
      <c r="C4645" s="830" t="s">
        <v>1844</v>
      </c>
      <c r="D4645" s="831"/>
      <c r="E4645" s="831"/>
      <c r="F4645" s="186">
        <f>G4666</f>
        <v>31.817574999999998</v>
      </c>
      <c r="G4645" s="83" t="s">
        <v>1171</v>
      </c>
      <c r="I4645" s="481"/>
      <c r="J4645" s="272"/>
      <c r="K4645" s="272"/>
    </row>
    <row r="4646" spans="1:11">
      <c r="A4646" s="818" t="s">
        <v>1902</v>
      </c>
      <c r="B4646" s="819"/>
      <c r="C4646" s="819"/>
      <c r="D4646" s="819"/>
      <c r="E4646" s="819"/>
      <c r="F4646" s="819"/>
      <c r="G4646" s="820"/>
    </row>
    <row r="4647" spans="1:11">
      <c r="A4647" s="84" t="s">
        <v>1903</v>
      </c>
      <c r="B4647" s="84" t="s">
        <v>131</v>
      </c>
      <c r="C4647" s="160" t="s">
        <v>1904</v>
      </c>
      <c r="D4647" s="84" t="s">
        <v>167</v>
      </c>
      <c r="E4647" s="85" t="s">
        <v>1905</v>
      </c>
      <c r="F4647" s="86" t="s">
        <v>1906</v>
      </c>
      <c r="G4647" s="86" t="s">
        <v>1907</v>
      </c>
    </row>
    <row r="4648" spans="1:11" ht="48">
      <c r="A4648" s="87" t="s">
        <v>2</v>
      </c>
      <c r="B4648" s="87">
        <v>11049</v>
      </c>
      <c r="C4648" s="278" t="s">
        <v>2169</v>
      </c>
      <c r="D4648" s="89" t="s">
        <v>1171</v>
      </c>
      <c r="E4648" s="88">
        <v>1.3</v>
      </c>
      <c r="F4648" s="89">
        <v>11.25</v>
      </c>
      <c r="G4648" s="89">
        <f>IF(D4648="","",E4648*F4648)</f>
        <v>14.625</v>
      </c>
    </row>
    <row r="4649" spans="1:11" ht="60">
      <c r="A4649" s="87" t="s">
        <v>3</v>
      </c>
      <c r="B4649" s="87" t="s">
        <v>1966</v>
      </c>
      <c r="C4649" s="278" t="s">
        <v>1967</v>
      </c>
      <c r="D4649" s="89" t="s">
        <v>180</v>
      </c>
      <c r="E4649" s="88">
        <v>0.06</v>
      </c>
      <c r="F4649" s="89">
        <v>15.97</v>
      </c>
      <c r="G4649" s="89">
        <f>IF(D4649="","",E4649*F4649)</f>
        <v>0.95820000000000005</v>
      </c>
    </row>
    <row r="4650" spans="1:11">
      <c r="A4650" s="832" t="s">
        <v>1908</v>
      </c>
      <c r="B4650" s="833"/>
      <c r="C4650" s="833"/>
      <c r="D4650" s="833"/>
      <c r="E4650" s="833"/>
      <c r="F4650" s="834"/>
      <c r="G4650" s="90">
        <f>IF(F4648="","",(SUM(G4648:G4649)))</f>
        <v>15.5832</v>
      </c>
    </row>
    <row r="4651" spans="1:11">
      <c r="A4651" s="91"/>
      <c r="B4651" s="92"/>
      <c r="C4651" s="161"/>
      <c r="D4651" s="93"/>
      <c r="E4651" s="94"/>
      <c r="F4651" s="95"/>
      <c r="G4651" s="96"/>
    </row>
    <row r="4652" spans="1:11">
      <c r="A4652" s="835" t="s">
        <v>1909</v>
      </c>
      <c r="B4652" s="836"/>
      <c r="C4652" s="836"/>
      <c r="D4652" s="836"/>
      <c r="E4652" s="836"/>
      <c r="F4652" s="836"/>
      <c r="G4652" s="837"/>
    </row>
    <row r="4653" spans="1:11">
      <c r="A4653" s="84" t="s">
        <v>1903</v>
      </c>
      <c r="B4653" s="84" t="s">
        <v>131</v>
      </c>
      <c r="C4653" s="160" t="s">
        <v>1904</v>
      </c>
      <c r="D4653" s="84" t="s">
        <v>167</v>
      </c>
      <c r="E4653" s="85" t="s">
        <v>1905</v>
      </c>
      <c r="F4653" s="86" t="s">
        <v>1906</v>
      </c>
      <c r="G4653" s="86" t="s">
        <v>1907</v>
      </c>
    </row>
    <row r="4654" spans="1:11" ht="24">
      <c r="A4654" s="87" t="s">
        <v>2</v>
      </c>
      <c r="B4654" s="87">
        <v>88243</v>
      </c>
      <c r="C4654" s="278" t="s">
        <v>2100</v>
      </c>
      <c r="D4654" s="89" t="s">
        <v>137</v>
      </c>
      <c r="E4654" s="88">
        <v>0.44</v>
      </c>
      <c r="F4654" s="89">
        <v>20.98</v>
      </c>
      <c r="G4654" s="89">
        <f>IF(D4654="","",E4654*F4654)</f>
        <v>9.2311999999999994</v>
      </c>
    </row>
    <row r="4655" spans="1:11" ht="24">
      <c r="A4655" s="87" t="s">
        <v>2</v>
      </c>
      <c r="B4655" s="87">
        <v>100308</v>
      </c>
      <c r="C4655" s="278" t="s">
        <v>1936</v>
      </c>
      <c r="D4655" s="89" t="s">
        <v>137</v>
      </c>
      <c r="E4655" s="88">
        <v>0.22</v>
      </c>
      <c r="F4655" s="89">
        <v>25.97</v>
      </c>
      <c r="G4655" s="89">
        <f>IF(D4655="","",E4655*F4655)</f>
        <v>5.7134</v>
      </c>
    </row>
    <row r="4656" spans="1:11">
      <c r="A4656" s="832" t="s">
        <v>1908</v>
      </c>
      <c r="B4656" s="833"/>
      <c r="C4656" s="833"/>
      <c r="D4656" s="833"/>
      <c r="E4656" s="833"/>
      <c r="F4656" s="834"/>
      <c r="G4656" s="90">
        <f>IF(F4654="","",(SUM(G4654:G4655)))</f>
        <v>14.944599999999999</v>
      </c>
    </row>
    <row r="4657" spans="1:11">
      <c r="A4657" s="91"/>
      <c r="B4657" s="92"/>
      <c r="C4657" s="162"/>
      <c r="D4657" s="92"/>
      <c r="E4657" s="97"/>
      <c r="F4657" s="98"/>
      <c r="G4657" s="96"/>
    </row>
    <row r="4658" spans="1:11">
      <c r="A4658" s="835" t="s">
        <v>1912</v>
      </c>
      <c r="B4658" s="836"/>
      <c r="C4658" s="836"/>
      <c r="D4658" s="836"/>
      <c r="E4658" s="836"/>
      <c r="F4658" s="836"/>
      <c r="G4658" s="837"/>
    </row>
    <row r="4659" spans="1:11">
      <c r="A4659" s="84" t="s">
        <v>1903</v>
      </c>
      <c r="B4659" s="84" t="s">
        <v>131</v>
      </c>
      <c r="C4659" s="160" t="s">
        <v>1904</v>
      </c>
      <c r="D4659" s="84" t="s">
        <v>167</v>
      </c>
      <c r="E4659" s="85" t="s">
        <v>1905</v>
      </c>
      <c r="F4659" s="86" t="s">
        <v>1906</v>
      </c>
      <c r="G4659" s="86" t="s">
        <v>1907</v>
      </c>
    </row>
    <row r="4660" spans="1:11" ht="36">
      <c r="A4660" s="87" t="s">
        <v>3</v>
      </c>
      <c r="B4660" s="87" t="s">
        <v>2160</v>
      </c>
      <c r="C4660" s="278" t="s">
        <v>2161</v>
      </c>
      <c r="D4660" s="89" t="s">
        <v>180</v>
      </c>
      <c r="E4660" s="88">
        <v>3.5000000000000003E-2</v>
      </c>
      <c r="F4660" s="89">
        <v>14.76</v>
      </c>
      <c r="G4660" s="89">
        <f>IF(D4660="","",E4660*F4660)</f>
        <v>0.51660000000000006</v>
      </c>
    </row>
    <row r="4661" spans="1:11" ht="36">
      <c r="A4661" s="87" t="s">
        <v>3</v>
      </c>
      <c r="B4661" s="87" t="s">
        <v>2162</v>
      </c>
      <c r="C4661" s="278" t="s">
        <v>2163</v>
      </c>
      <c r="D4661" s="89" t="s">
        <v>2164</v>
      </c>
      <c r="E4661" s="88">
        <v>0.05</v>
      </c>
      <c r="F4661" s="88">
        <v>15.4635</v>
      </c>
      <c r="G4661" s="89">
        <f>IF(D4661="","",E4661*F4661)</f>
        <v>0.77317500000000006</v>
      </c>
    </row>
    <row r="4662" spans="1:11" ht="24">
      <c r="A4662" s="87" t="s">
        <v>3</v>
      </c>
      <c r="B4662" s="87" t="s">
        <v>2165</v>
      </c>
      <c r="C4662" s="278" t="s">
        <v>2166</v>
      </c>
      <c r="D4662" s="89" t="s">
        <v>167</v>
      </c>
      <c r="E4662" s="88">
        <v>0.1</v>
      </c>
      <c r="F4662" s="88">
        <v>0.13100000000000001</v>
      </c>
      <c r="G4662" s="89">
        <f>IF(D4662="","",E4662*F4662)</f>
        <v>1.3100000000000001E-2</v>
      </c>
    </row>
    <row r="4663" spans="1:11" ht="36">
      <c r="A4663" s="87" t="s">
        <v>3</v>
      </c>
      <c r="B4663" s="87" t="s">
        <v>2167</v>
      </c>
      <c r="C4663" s="278" t="s">
        <v>2168</v>
      </c>
      <c r="D4663" s="89" t="s">
        <v>167</v>
      </c>
      <c r="E4663" s="88">
        <v>0.1</v>
      </c>
      <c r="F4663" s="88">
        <v>0.1108</v>
      </c>
      <c r="G4663" s="89">
        <f>IF(D4663="","",E4663*F4663)</f>
        <v>1.108E-2</v>
      </c>
    </row>
    <row r="4664" spans="1:11">
      <c r="A4664" s="832" t="s">
        <v>1908</v>
      </c>
      <c r="B4664" s="833" t="s">
        <v>1908</v>
      </c>
      <c r="C4664" s="833"/>
      <c r="D4664" s="833"/>
      <c r="E4664" s="833"/>
      <c r="F4664" s="834"/>
      <c r="G4664" s="90">
        <f>IF(F4660="","",(SUM(G4660:G4661)))</f>
        <v>1.2897750000000001</v>
      </c>
    </row>
    <row r="4665" spans="1:11" ht="13.5" thickBot="1">
      <c r="A4665" s="91"/>
      <c r="B4665" s="92"/>
      <c r="C4665" s="163"/>
      <c r="D4665" s="99"/>
      <c r="E4665" s="100"/>
      <c r="F4665" s="101"/>
      <c r="G4665" s="102"/>
    </row>
    <row r="4666" spans="1:11" ht="13.5" thickBot="1">
      <c r="A4666" s="838" t="s">
        <v>1259</v>
      </c>
      <c r="B4666" s="839"/>
      <c r="C4666" s="839"/>
      <c r="D4666" s="839"/>
      <c r="E4666" s="839"/>
      <c r="F4666" s="840"/>
      <c r="G4666" s="103">
        <f>SUM(G4650,G4656,G4664)</f>
        <v>31.817574999999998</v>
      </c>
    </row>
    <row r="4669" spans="1:11">
      <c r="A4669" s="237" t="s">
        <v>131</v>
      </c>
      <c r="B4669" s="190" t="s">
        <v>27</v>
      </c>
      <c r="C4669" s="841" t="s">
        <v>1281</v>
      </c>
      <c r="D4669" s="841"/>
      <c r="E4669" s="841"/>
      <c r="F4669" s="841"/>
      <c r="G4669" s="81" t="s">
        <v>127</v>
      </c>
      <c r="I4669" s="480" t="s">
        <v>1901</v>
      </c>
      <c r="J4669" s="80"/>
      <c r="K4669" s="80"/>
    </row>
    <row r="4670" spans="1:11" ht="50.1" customHeight="1">
      <c r="A4670" s="179" t="s">
        <v>1176</v>
      </c>
      <c r="B4670" s="82"/>
      <c r="C4670" s="830" t="s">
        <v>1846</v>
      </c>
      <c r="D4670" s="831"/>
      <c r="E4670" s="831"/>
      <c r="F4670" s="186">
        <f>G4691</f>
        <v>30.406455000000001</v>
      </c>
      <c r="G4670" s="83" t="s">
        <v>1171</v>
      </c>
      <c r="I4670" s="481"/>
      <c r="J4670" s="272"/>
      <c r="K4670" s="272"/>
    </row>
    <row r="4671" spans="1:11">
      <c r="A4671" s="818" t="s">
        <v>1902</v>
      </c>
      <c r="B4671" s="819"/>
      <c r="C4671" s="819"/>
      <c r="D4671" s="819"/>
      <c r="E4671" s="819"/>
      <c r="F4671" s="819"/>
      <c r="G4671" s="820"/>
    </row>
    <row r="4672" spans="1:11">
      <c r="A4672" s="84" t="s">
        <v>1903</v>
      </c>
      <c r="B4672" s="84" t="s">
        <v>131</v>
      </c>
      <c r="C4672" s="160" t="s">
        <v>1904</v>
      </c>
      <c r="D4672" s="84" t="s">
        <v>167</v>
      </c>
      <c r="E4672" s="85" t="s">
        <v>1905</v>
      </c>
      <c r="F4672" s="86" t="s">
        <v>1906</v>
      </c>
      <c r="G4672" s="86" t="s">
        <v>1907</v>
      </c>
    </row>
    <row r="4673" spans="1:7" ht="48">
      <c r="A4673" s="87" t="s">
        <v>2</v>
      </c>
      <c r="B4673" s="87">
        <v>43106</v>
      </c>
      <c r="C4673" s="278" t="s">
        <v>2170</v>
      </c>
      <c r="D4673" s="89" t="s">
        <v>1171</v>
      </c>
      <c r="E4673" s="88">
        <v>1.3</v>
      </c>
      <c r="F4673" s="89">
        <v>11.32</v>
      </c>
      <c r="G4673" s="89">
        <f>IF(D4673="","",E4673*F4673)</f>
        <v>14.716000000000001</v>
      </c>
    </row>
    <row r="4674" spans="1:7" ht="60">
      <c r="A4674" s="87" t="s">
        <v>3</v>
      </c>
      <c r="B4674" s="87" t="s">
        <v>1966</v>
      </c>
      <c r="C4674" s="278" t="s">
        <v>1967</v>
      </c>
      <c r="D4674" s="89" t="s">
        <v>180</v>
      </c>
      <c r="E4674" s="88">
        <v>7.4999999999999997E-2</v>
      </c>
      <c r="F4674" s="89">
        <v>15.97</v>
      </c>
      <c r="G4674" s="89">
        <f>IF(D4674="","",E4674*F4674)</f>
        <v>1.1977500000000001</v>
      </c>
    </row>
    <row r="4675" spans="1:7">
      <c r="A4675" s="832" t="s">
        <v>1908</v>
      </c>
      <c r="B4675" s="833"/>
      <c r="C4675" s="833"/>
      <c r="D4675" s="833"/>
      <c r="E4675" s="833"/>
      <c r="F4675" s="834"/>
      <c r="G4675" s="90">
        <f>IF(F4673="","",(SUM(G4673:G4674)))</f>
        <v>15.91375</v>
      </c>
    </row>
    <row r="4676" spans="1:7">
      <c r="A4676" s="91"/>
      <c r="B4676" s="92"/>
      <c r="C4676" s="161"/>
      <c r="D4676" s="93"/>
      <c r="E4676" s="94"/>
      <c r="F4676" s="95"/>
      <c r="G4676" s="96"/>
    </row>
    <row r="4677" spans="1:7">
      <c r="A4677" s="835" t="s">
        <v>1909</v>
      </c>
      <c r="B4677" s="836"/>
      <c r="C4677" s="836"/>
      <c r="D4677" s="836"/>
      <c r="E4677" s="836"/>
      <c r="F4677" s="836"/>
      <c r="G4677" s="837"/>
    </row>
    <row r="4678" spans="1:7">
      <c r="A4678" s="84" t="s">
        <v>1903</v>
      </c>
      <c r="B4678" s="84" t="s">
        <v>131</v>
      </c>
      <c r="C4678" s="160" t="s">
        <v>1904</v>
      </c>
      <c r="D4678" s="84" t="s">
        <v>167</v>
      </c>
      <c r="E4678" s="85" t="s">
        <v>1905</v>
      </c>
      <c r="F4678" s="86" t="s">
        <v>1906</v>
      </c>
      <c r="G4678" s="86" t="s">
        <v>1907</v>
      </c>
    </row>
    <row r="4679" spans="1:7" ht="24">
      <c r="A4679" s="87" t="s">
        <v>2</v>
      </c>
      <c r="B4679" s="87">
        <v>88243</v>
      </c>
      <c r="C4679" s="278" t="s">
        <v>2100</v>
      </c>
      <c r="D4679" s="89" t="s">
        <v>137</v>
      </c>
      <c r="E4679" s="88">
        <v>0.4</v>
      </c>
      <c r="F4679" s="89">
        <v>20.98</v>
      </c>
      <c r="G4679" s="89">
        <f>IF(D4679="","",E4679*F4679)</f>
        <v>8.3920000000000012</v>
      </c>
    </row>
    <row r="4680" spans="1:7" ht="24">
      <c r="A4680" s="87" t="s">
        <v>2</v>
      </c>
      <c r="B4680" s="87">
        <v>100308</v>
      </c>
      <c r="C4680" s="278" t="s">
        <v>1936</v>
      </c>
      <c r="D4680" s="89" t="s">
        <v>137</v>
      </c>
      <c r="E4680" s="88">
        <v>0.2</v>
      </c>
      <c r="F4680" s="89">
        <v>25.97</v>
      </c>
      <c r="G4680" s="89">
        <f>IF(D4680="","",E4680*F4680)</f>
        <v>5.194</v>
      </c>
    </row>
    <row r="4681" spans="1:7">
      <c r="A4681" s="832" t="s">
        <v>1908</v>
      </c>
      <c r="B4681" s="833"/>
      <c r="C4681" s="833"/>
      <c r="D4681" s="833"/>
      <c r="E4681" s="833"/>
      <c r="F4681" s="834"/>
      <c r="G4681" s="90">
        <f>IF(F4679="","",(SUM(G4679:G4680)))</f>
        <v>13.586000000000002</v>
      </c>
    </row>
    <row r="4682" spans="1:7">
      <c r="A4682" s="91"/>
      <c r="B4682" s="92"/>
      <c r="C4682" s="162"/>
      <c r="D4682" s="92"/>
      <c r="E4682" s="97"/>
      <c r="F4682" s="98"/>
      <c r="G4682" s="96"/>
    </row>
    <row r="4683" spans="1:7">
      <c r="A4683" s="835" t="s">
        <v>1912</v>
      </c>
      <c r="B4683" s="836"/>
      <c r="C4683" s="836"/>
      <c r="D4683" s="836"/>
      <c r="E4683" s="836"/>
      <c r="F4683" s="836"/>
      <c r="G4683" s="837"/>
    </row>
    <row r="4684" spans="1:7">
      <c r="A4684" s="84" t="s">
        <v>1903</v>
      </c>
      <c r="B4684" s="84" t="s">
        <v>131</v>
      </c>
      <c r="C4684" s="160" t="s">
        <v>1904</v>
      </c>
      <c r="D4684" s="84" t="s">
        <v>167</v>
      </c>
      <c r="E4684" s="85" t="s">
        <v>1905</v>
      </c>
      <c r="F4684" s="86" t="s">
        <v>1906</v>
      </c>
      <c r="G4684" s="86" t="s">
        <v>1907</v>
      </c>
    </row>
    <row r="4685" spans="1:7" ht="36">
      <c r="A4685" s="87" t="s">
        <v>3</v>
      </c>
      <c r="B4685" s="87" t="s">
        <v>2160</v>
      </c>
      <c r="C4685" s="278" t="s">
        <v>2161</v>
      </c>
      <c r="D4685" s="89" t="s">
        <v>180</v>
      </c>
      <c r="E4685" s="88">
        <v>0.03</v>
      </c>
      <c r="F4685" s="89">
        <v>14.76</v>
      </c>
      <c r="G4685" s="89">
        <f>IF(D4685="","",E4685*F4685)</f>
        <v>0.44279999999999997</v>
      </c>
    </row>
    <row r="4686" spans="1:7" ht="36">
      <c r="A4686" s="87" t="s">
        <v>3</v>
      </c>
      <c r="B4686" s="87" t="s">
        <v>2162</v>
      </c>
      <c r="C4686" s="278" t="s">
        <v>2163</v>
      </c>
      <c r="D4686" s="89" t="s">
        <v>2164</v>
      </c>
      <c r="E4686" s="88">
        <v>0.03</v>
      </c>
      <c r="F4686" s="88">
        <v>15.4635</v>
      </c>
      <c r="G4686" s="89">
        <f>IF(D4686="","",E4686*F4686)</f>
        <v>0.46390499999999996</v>
      </c>
    </row>
    <row r="4687" spans="1:7" ht="24">
      <c r="A4687" s="87" t="s">
        <v>3</v>
      </c>
      <c r="B4687" s="87" t="s">
        <v>2165</v>
      </c>
      <c r="C4687" s="278" t="s">
        <v>2166</v>
      </c>
      <c r="D4687" s="89" t="s">
        <v>167</v>
      </c>
      <c r="E4687" s="88">
        <v>0.08</v>
      </c>
      <c r="F4687" s="88">
        <v>0.13100000000000001</v>
      </c>
      <c r="G4687" s="89">
        <f>IF(D4687="","",E4687*F4687)</f>
        <v>1.0480000000000001E-2</v>
      </c>
    </row>
    <row r="4688" spans="1:7" ht="36">
      <c r="A4688" s="87" t="s">
        <v>3</v>
      </c>
      <c r="B4688" s="87" t="s">
        <v>2167</v>
      </c>
      <c r="C4688" s="278" t="s">
        <v>2168</v>
      </c>
      <c r="D4688" s="89" t="s">
        <v>167</v>
      </c>
      <c r="E4688" s="88">
        <v>0.08</v>
      </c>
      <c r="F4688" s="88">
        <v>0.1108</v>
      </c>
      <c r="G4688" s="89">
        <f>IF(D4688="","",E4688*F4688)</f>
        <v>8.8640000000000004E-3</v>
      </c>
    </row>
    <row r="4689" spans="1:11">
      <c r="A4689" s="832" t="s">
        <v>1908</v>
      </c>
      <c r="B4689" s="833" t="s">
        <v>1908</v>
      </c>
      <c r="C4689" s="833"/>
      <c r="D4689" s="833"/>
      <c r="E4689" s="833"/>
      <c r="F4689" s="834"/>
      <c r="G4689" s="90">
        <f>IF(F4685="","",(SUM(G4685:G4686)))</f>
        <v>0.90670499999999987</v>
      </c>
    </row>
    <row r="4690" spans="1:11" ht="13.5" thickBot="1">
      <c r="A4690" s="91"/>
      <c r="B4690" s="92"/>
      <c r="C4690" s="163"/>
      <c r="D4690" s="99"/>
      <c r="E4690" s="100"/>
      <c r="F4690" s="101"/>
      <c r="G4690" s="102"/>
    </row>
    <row r="4691" spans="1:11" ht="13.5" thickBot="1">
      <c r="A4691" s="838" t="s">
        <v>1259</v>
      </c>
      <c r="B4691" s="839"/>
      <c r="C4691" s="839"/>
      <c r="D4691" s="839"/>
      <c r="E4691" s="839"/>
      <c r="F4691" s="840"/>
      <c r="G4691" s="103">
        <f>SUM(G4675,G4681,G4689)</f>
        <v>30.406455000000001</v>
      </c>
    </row>
    <row r="4694" spans="1:11">
      <c r="A4694" s="237" t="s">
        <v>131</v>
      </c>
      <c r="B4694" s="190" t="s">
        <v>27</v>
      </c>
      <c r="C4694" s="841" t="s">
        <v>1281</v>
      </c>
      <c r="D4694" s="841"/>
      <c r="E4694" s="841"/>
      <c r="F4694" s="841"/>
      <c r="G4694" s="81" t="s">
        <v>127</v>
      </c>
      <c r="I4694" s="480" t="s">
        <v>1901</v>
      </c>
      <c r="J4694" s="80"/>
      <c r="K4694" s="80"/>
    </row>
    <row r="4695" spans="1:11" ht="50.1" customHeight="1">
      <c r="A4695" s="179" t="s">
        <v>1179</v>
      </c>
      <c r="B4695" s="82"/>
      <c r="C4695" s="830" t="s">
        <v>1848</v>
      </c>
      <c r="D4695" s="831"/>
      <c r="E4695" s="831"/>
      <c r="F4695" s="186">
        <f>G4716</f>
        <v>31.283005000000003</v>
      </c>
      <c r="G4695" s="83" t="s">
        <v>1171</v>
      </c>
      <c r="I4695" s="481"/>
      <c r="J4695" s="272"/>
      <c r="K4695" s="272"/>
    </row>
    <row r="4696" spans="1:11">
      <c r="A4696" s="818" t="s">
        <v>1902</v>
      </c>
      <c r="B4696" s="819"/>
      <c r="C4696" s="819"/>
      <c r="D4696" s="819"/>
      <c r="E4696" s="819"/>
      <c r="F4696" s="819"/>
      <c r="G4696" s="820"/>
    </row>
    <row r="4697" spans="1:11">
      <c r="A4697" s="84" t="s">
        <v>1903</v>
      </c>
      <c r="B4697" s="84" t="s">
        <v>131</v>
      </c>
      <c r="C4697" s="160" t="s">
        <v>1904</v>
      </c>
      <c r="D4697" s="84" t="s">
        <v>167</v>
      </c>
      <c r="E4697" s="85" t="s">
        <v>1905</v>
      </c>
      <c r="F4697" s="86" t="s">
        <v>1906</v>
      </c>
      <c r="G4697" s="86" t="s">
        <v>1907</v>
      </c>
    </row>
    <row r="4698" spans="1:11" ht="48">
      <c r="A4698" s="87" t="s">
        <v>2</v>
      </c>
      <c r="B4698" s="87">
        <v>11051</v>
      </c>
      <c r="C4698" s="278" t="s">
        <v>2171</v>
      </c>
      <c r="D4698" s="89" t="s">
        <v>1171</v>
      </c>
      <c r="E4698" s="88">
        <v>1.3</v>
      </c>
      <c r="F4698" s="89">
        <v>11.81</v>
      </c>
      <c r="G4698" s="89">
        <f>IF(D4698="","",E4698*F4698)</f>
        <v>15.353000000000002</v>
      </c>
    </row>
    <row r="4699" spans="1:11" ht="60">
      <c r="A4699" s="87" t="s">
        <v>3</v>
      </c>
      <c r="B4699" s="87" t="s">
        <v>1966</v>
      </c>
      <c r="C4699" s="278" t="s">
        <v>1967</v>
      </c>
      <c r="D4699" s="89" t="s">
        <v>180</v>
      </c>
      <c r="E4699" s="88">
        <v>0.09</v>
      </c>
      <c r="F4699" s="89">
        <v>15.97</v>
      </c>
      <c r="G4699" s="89">
        <f>IF(D4699="","",E4699*F4699)</f>
        <v>1.4373</v>
      </c>
    </row>
    <row r="4700" spans="1:11">
      <c r="A4700" s="832" t="s">
        <v>1908</v>
      </c>
      <c r="B4700" s="833"/>
      <c r="C4700" s="833"/>
      <c r="D4700" s="833"/>
      <c r="E4700" s="833"/>
      <c r="F4700" s="834"/>
      <c r="G4700" s="90">
        <f>IF(F4698="","",(SUM(G4698:G4699)))</f>
        <v>16.790300000000002</v>
      </c>
    </row>
    <row r="4701" spans="1:11">
      <c r="A4701" s="91"/>
      <c r="B4701" s="92"/>
      <c r="C4701" s="161"/>
      <c r="D4701" s="93"/>
      <c r="E4701" s="94"/>
      <c r="F4701" s="95"/>
      <c r="G4701" s="96"/>
    </row>
    <row r="4702" spans="1:11">
      <c r="A4702" s="835" t="s">
        <v>1909</v>
      </c>
      <c r="B4702" s="836"/>
      <c r="C4702" s="836"/>
      <c r="D4702" s="836"/>
      <c r="E4702" s="836"/>
      <c r="F4702" s="836"/>
      <c r="G4702" s="837"/>
    </row>
    <row r="4703" spans="1:11">
      <c r="A4703" s="84" t="s">
        <v>1903</v>
      </c>
      <c r="B4703" s="84" t="s">
        <v>131</v>
      </c>
      <c r="C4703" s="160" t="s">
        <v>1904</v>
      </c>
      <c r="D4703" s="84" t="s">
        <v>167</v>
      </c>
      <c r="E4703" s="85" t="s">
        <v>1905</v>
      </c>
      <c r="F4703" s="86" t="s">
        <v>1906</v>
      </c>
      <c r="G4703" s="86" t="s">
        <v>1907</v>
      </c>
    </row>
    <row r="4704" spans="1:11" ht="24">
      <c r="A4704" s="87" t="s">
        <v>2</v>
      </c>
      <c r="B4704" s="87">
        <v>88243</v>
      </c>
      <c r="C4704" s="278" t="s">
        <v>2100</v>
      </c>
      <c r="D4704" s="89" t="s">
        <v>137</v>
      </c>
      <c r="E4704" s="88">
        <v>0.4</v>
      </c>
      <c r="F4704" s="89">
        <v>20.98</v>
      </c>
      <c r="G4704" s="89">
        <f>IF(D4704="","",E4704*F4704)</f>
        <v>8.3920000000000012</v>
      </c>
    </row>
    <row r="4705" spans="1:11" ht="24">
      <c r="A4705" s="87" t="s">
        <v>2</v>
      </c>
      <c r="B4705" s="87">
        <v>100308</v>
      </c>
      <c r="C4705" s="278" t="s">
        <v>1936</v>
      </c>
      <c r="D4705" s="89" t="s">
        <v>137</v>
      </c>
      <c r="E4705" s="88">
        <v>0.2</v>
      </c>
      <c r="F4705" s="89">
        <v>25.97</v>
      </c>
      <c r="G4705" s="89">
        <f>IF(D4705="","",E4705*F4705)</f>
        <v>5.194</v>
      </c>
    </row>
    <row r="4706" spans="1:11">
      <c r="A4706" s="832" t="s">
        <v>1908</v>
      </c>
      <c r="B4706" s="833"/>
      <c r="C4706" s="833"/>
      <c r="D4706" s="833"/>
      <c r="E4706" s="833"/>
      <c r="F4706" s="834"/>
      <c r="G4706" s="90">
        <f>IF(F4704="","",(SUM(G4704:G4705)))</f>
        <v>13.586000000000002</v>
      </c>
    </row>
    <row r="4707" spans="1:11">
      <c r="A4707" s="91"/>
      <c r="B4707" s="92"/>
      <c r="C4707" s="162"/>
      <c r="D4707" s="92"/>
      <c r="E4707" s="97"/>
      <c r="F4707" s="98"/>
      <c r="G4707" s="96"/>
    </row>
    <row r="4708" spans="1:11">
      <c r="A4708" s="835" t="s">
        <v>1912</v>
      </c>
      <c r="B4708" s="836"/>
      <c r="C4708" s="836"/>
      <c r="D4708" s="836"/>
      <c r="E4708" s="836"/>
      <c r="F4708" s="836"/>
      <c r="G4708" s="837"/>
    </row>
    <row r="4709" spans="1:11">
      <c r="A4709" s="84" t="s">
        <v>1903</v>
      </c>
      <c r="B4709" s="84" t="s">
        <v>131</v>
      </c>
      <c r="C4709" s="160" t="s">
        <v>1904</v>
      </c>
      <c r="D4709" s="84" t="s">
        <v>167</v>
      </c>
      <c r="E4709" s="85" t="s">
        <v>1905</v>
      </c>
      <c r="F4709" s="86" t="s">
        <v>1906</v>
      </c>
      <c r="G4709" s="86" t="s">
        <v>1907</v>
      </c>
    </row>
    <row r="4710" spans="1:11" ht="36">
      <c r="A4710" s="87" t="s">
        <v>3</v>
      </c>
      <c r="B4710" s="87" t="s">
        <v>2160</v>
      </c>
      <c r="C4710" s="278" t="s">
        <v>2161</v>
      </c>
      <c r="D4710" s="89" t="s">
        <v>180</v>
      </c>
      <c r="E4710" s="88">
        <v>0.03</v>
      </c>
      <c r="F4710" s="89">
        <v>14.76</v>
      </c>
      <c r="G4710" s="89">
        <f>IF(D4710="","",E4710*F4710)</f>
        <v>0.44279999999999997</v>
      </c>
    </row>
    <row r="4711" spans="1:11" ht="36">
      <c r="A4711" s="87" t="s">
        <v>3</v>
      </c>
      <c r="B4711" s="87" t="s">
        <v>2162</v>
      </c>
      <c r="C4711" s="278" t="s">
        <v>2163</v>
      </c>
      <c r="D4711" s="89" t="s">
        <v>2164</v>
      </c>
      <c r="E4711" s="88">
        <v>0.03</v>
      </c>
      <c r="F4711" s="88">
        <v>15.4635</v>
      </c>
      <c r="G4711" s="89">
        <f>IF(D4711="","",E4711*F4711)</f>
        <v>0.46390499999999996</v>
      </c>
    </row>
    <row r="4712" spans="1:11" ht="24">
      <c r="A4712" s="87" t="s">
        <v>3</v>
      </c>
      <c r="B4712" s="87" t="s">
        <v>2165</v>
      </c>
      <c r="C4712" s="278" t="s">
        <v>2166</v>
      </c>
      <c r="D4712" s="89" t="s">
        <v>167</v>
      </c>
      <c r="E4712" s="88">
        <v>0.08</v>
      </c>
      <c r="F4712" s="88">
        <v>0.13100000000000001</v>
      </c>
      <c r="G4712" s="89">
        <f>IF(D4712="","",E4712*F4712)</f>
        <v>1.0480000000000001E-2</v>
      </c>
    </row>
    <row r="4713" spans="1:11" ht="36">
      <c r="A4713" s="87" t="s">
        <v>3</v>
      </c>
      <c r="B4713" s="87" t="s">
        <v>2167</v>
      </c>
      <c r="C4713" s="278" t="s">
        <v>2168</v>
      </c>
      <c r="D4713" s="89" t="s">
        <v>167</v>
      </c>
      <c r="E4713" s="88">
        <v>0.08</v>
      </c>
      <c r="F4713" s="88">
        <v>0.1108</v>
      </c>
      <c r="G4713" s="89">
        <f>IF(D4713="","",E4713*F4713)</f>
        <v>8.8640000000000004E-3</v>
      </c>
    </row>
    <row r="4714" spans="1:11">
      <c r="A4714" s="832" t="s">
        <v>1908</v>
      </c>
      <c r="B4714" s="833" t="s">
        <v>1908</v>
      </c>
      <c r="C4714" s="833"/>
      <c r="D4714" s="833"/>
      <c r="E4714" s="833"/>
      <c r="F4714" s="834"/>
      <c r="G4714" s="90">
        <f>IF(F4710="","",(SUM(G4710:G4711)))</f>
        <v>0.90670499999999987</v>
      </c>
    </row>
    <row r="4715" spans="1:11" ht="13.5" thickBot="1">
      <c r="A4715" s="91"/>
      <c r="B4715" s="92"/>
      <c r="C4715" s="163"/>
      <c r="D4715" s="99"/>
      <c r="E4715" s="100"/>
      <c r="F4715" s="101"/>
      <c r="G4715" s="102"/>
    </row>
    <row r="4716" spans="1:11" ht="13.5" thickBot="1">
      <c r="A4716" s="838" t="s">
        <v>1259</v>
      </c>
      <c r="B4716" s="839"/>
      <c r="C4716" s="839"/>
      <c r="D4716" s="839"/>
      <c r="E4716" s="839"/>
      <c r="F4716" s="840"/>
      <c r="G4716" s="103">
        <f>SUM(G4700,G4706,G4714)</f>
        <v>31.283005000000003</v>
      </c>
    </row>
    <row r="4719" spans="1:11">
      <c r="A4719" s="237" t="s">
        <v>131</v>
      </c>
      <c r="B4719" s="190" t="s">
        <v>27</v>
      </c>
      <c r="C4719" s="841" t="s">
        <v>1281</v>
      </c>
      <c r="D4719" s="841"/>
      <c r="E4719" s="841"/>
      <c r="F4719" s="841"/>
      <c r="G4719" s="81" t="s">
        <v>127</v>
      </c>
      <c r="I4719" s="480" t="s">
        <v>1901</v>
      </c>
      <c r="J4719" s="80"/>
      <c r="K4719" s="80"/>
    </row>
    <row r="4720" spans="1:11" ht="50.1" customHeight="1">
      <c r="A4720" s="179" t="s">
        <v>1182</v>
      </c>
      <c r="B4720" s="82"/>
      <c r="C4720" s="830" t="s">
        <v>1183</v>
      </c>
      <c r="D4720" s="831"/>
      <c r="E4720" s="831"/>
      <c r="F4720" s="186">
        <f>G4740</f>
        <v>44.666980333333335</v>
      </c>
      <c r="G4720" s="83" t="s">
        <v>150</v>
      </c>
      <c r="I4720" s="481"/>
      <c r="J4720" s="272"/>
      <c r="K4720" s="272"/>
    </row>
    <row r="4721" spans="1:7">
      <c r="A4721" s="818" t="s">
        <v>1902</v>
      </c>
      <c r="B4721" s="819"/>
      <c r="C4721" s="819"/>
      <c r="D4721" s="819"/>
      <c r="E4721" s="819"/>
      <c r="F4721" s="819"/>
      <c r="G4721" s="820"/>
    </row>
    <row r="4722" spans="1:7">
      <c r="A4722" s="84" t="s">
        <v>1903</v>
      </c>
      <c r="B4722" s="84" t="s">
        <v>131</v>
      </c>
      <c r="C4722" s="160" t="s">
        <v>1904</v>
      </c>
      <c r="D4722" s="84" t="s">
        <v>167</v>
      </c>
      <c r="E4722" s="85" t="s">
        <v>1905</v>
      </c>
      <c r="F4722" s="86" t="s">
        <v>1906</v>
      </c>
      <c r="G4722" s="86" t="s">
        <v>1907</v>
      </c>
    </row>
    <row r="4723" spans="1:7" ht="36">
      <c r="A4723" s="87" t="s">
        <v>1917</v>
      </c>
      <c r="B4723" s="87" t="s">
        <v>2172</v>
      </c>
      <c r="C4723" s="278" t="str">
        <f>IF(B4723="","",IF($A$8="NÃO DESONERADO",(IF(A4723="SINAPI",VLOOKUP(B4723,#REF!,2,0),IF(A4723="SUDECAP",VLOOKUP(B4723,#REF!,3,0),IF(A4723="SETOP",VLOOKUP(B4723,#REF!,2,0),IF(A4723="COTAÇÃO",VLOOKUP(B4723,'Mapa Cotações'!$A:$N,2,0)))))),(IF(A4723="SINAPI",VLOOKUP(B4723,#REF!,2,0),IF(A4723="SUDECAP",VLOOKUP(B4723,#REF!,3,0),IF(A4723="SETOP",VLOOKUP(B4723,#REF!,2,0),IF(A4723="COTAÇÃO",VLOOKUP(B4723,'Mapa Cotações'!$A:$N,2,0))))))))</f>
        <v>FELTRO DE LÃ DE VIDRO REVESTIDO EM UM FACE COM KRAFT ALUMINIZADO COM 38 MM ESPESSURA, ISOFLEX RT-1.0 - 38 MM. REF.: SAINT-GOBAIN</v>
      </c>
      <c r="D4723" s="89" t="s">
        <v>167</v>
      </c>
      <c r="E4723" s="88">
        <f>(1.1)/30</f>
        <v>3.6666666666666667E-2</v>
      </c>
      <c r="F4723" s="89">
        <f>IF(B4723="","",IF($A$8="NÃO DESONERADO",(IF(A4723="SINAPI",VLOOKUP(B4723,#REF!,4,0),IF(A4723="SUDECAP",VLOOKUP(B4723,#REF!,5,0),IF(A4723="SETOP",VLOOKUP(B4723,#REF!,4,0),IF(A4723="COTAÇÃO",VLOOKUP(B4723,'Mapa Cotações'!$A:$N,13,0)))))),(IF(A4723="SINAPI",VLOOKUP(B4723,#REF!,4,0),IF(A4723="SUDECAP",VLOOKUP(B4723,#REF!,5,0),IF(A4723="SETOP",VLOOKUP(B4723,#REF!,4,0),IF(A4723="COTAÇÃO",VLOOKUP(B4723,'Mapa Cotações'!$A:$N,13,0))))))))</f>
        <v>499</v>
      </c>
      <c r="G4723" s="89">
        <f>IF(D4723="","",E4723*F4723)</f>
        <v>18.296666666666667</v>
      </c>
    </row>
    <row r="4724" spans="1:7">
      <c r="A4724" s="87"/>
      <c r="B4724" s="87"/>
      <c r="C4724" s="278" t="str">
        <f>IF(B4724="","",IF($A$8="NÃO DESONERADO",(IF(A4724="SINAPI",VLOOKUP(B4724,#REF!,2,0),IF(A4724="SUDECAP",VLOOKUP(B4724,#REF!,3,0),IF(A4724="SETOP",VLOOKUP(B4724,#REF!,2,0),IF(A4724="COTAÇÃO",VLOOKUP(B4724,'Mapa Cotações'!$A:$N,2,0)))))),(IF(A4724="SINAPI",VLOOKUP(B4724,#REF!,2,0),IF(A4724="SUDECAP",VLOOKUP(B4724,#REF!,3,0),IF(A4724="SETOP",VLOOKUP(B4724,#REF!,2,0),IF(A4724="COTAÇÃO",VLOOKUP(B4724,'Mapa Cotações'!$A:$N,2,0))))))))</f>
        <v/>
      </c>
      <c r="D4724" s="89" t="str">
        <f>IF(B4724="","",IF($A$8="NÃO DESONERADO",(IF(A4724="SINAPI",VLOOKUP(B4724,#REF!,3,0),IF(A4724="SUDECAP",VLOOKUP(B4724,#REF!,4,0),IF(A4724="SETOP",VLOOKUP(B4724,#REF!,3,0),IF(A4724="COTAÇÃO",VLOOKUP(B4724,'Mapa Cotações'!$A:$N,3,0)))))),(IF(A4724="SINAPI",VLOOKUP(B4724,#REF!,3,0),IF(A4724="SUDECAP",VLOOKUP(B4724,#REF!,4,0),IF(A4724="SETOP",VLOOKUP(B4724,#REF!,3,0),IF(A4724="COTAÇÃO",VLOOKUP(B4724,'Mapa Cotações'!$A:$N,3,0))))))))</f>
        <v/>
      </c>
      <c r="E4724" s="88"/>
      <c r="F4724" s="89" t="str">
        <f>IF(B4724="","",IF($A$8="NÃO DESONERADO",(IF(A4724="SINAPI",VLOOKUP(B4724,#REF!,4,0),IF(A4724="SUDECAP",VLOOKUP(B4724,#REF!,5,0),IF(A4724="SETOP",VLOOKUP(B4724,#REF!,4,0),IF(A4724="COTAÇÃO",VLOOKUP(B4724,'Mapa Cotações'!$A:$N,13,0)))))),(IF(A4724="SINAPI",VLOOKUP(B4724,#REF!,4,0),IF(A4724="SUDECAP",VLOOKUP(B4724,#REF!,5,0),IF(A4724="SETOP",VLOOKUP(B4724,#REF!,4,0),IF(A4724="COTAÇÃO",VLOOKUP(B4724,'Mapa Cotações'!$A:$N,13,0))))))))</f>
        <v/>
      </c>
      <c r="G4724" s="89" t="str">
        <f>IF(D4724="","",E4724*F4724)</f>
        <v/>
      </c>
    </row>
    <row r="4725" spans="1:7">
      <c r="A4725" s="832" t="s">
        <v>1908</v>
      </c>
      <c r="B4725" s="833"/>
      <c r="C4725" s="833"/>
      <c r="D4725" s="833"/>
      <c r="E4725" s="833"/>
      <c r="F4725" s="834"/>
      <c r="G4725" s="90">
        <f>IF(F4723="","",(SUM(G4723:G4724)))</f>
        <v>18.296666666666667</v>
      </c>
    </row>
    <row r="4726" spans="1:7">
      <c r="A4726" s="91"/>
      <c r="B4726" s="92"/>
      <c r="C4726" s="161"/>
      <c r="D4726" s="93"/>
      <c r="E4726" s="94"/>
      <c r="F4726" s="95"/>
      <c r="G4726" s="96"/>
    </row>
    <row r="4727" spans="1:7">
      <c r="A4727" s="835" t="s">
        <v>1909</v>
      </c>
      <c r="B4727" s="836"/>
      <c r="C4727" s="836"/>
      <c r="D4727" s="836"/>
      <c r="E4727" s="836"/>
      <c r="F4727" s="836"/>
      <c r="G4727" s="837"/>
    </row>
    <row r="4728" spans="1:7">
      <c r="A4728" s="84" t="s">
        <v>1903</v>
      </c>
      <c r="B4728" s="84" t="s">
        <v>131</v>
      </c>
      <c r="C4728" s="160" t="s">
        <v>1904</v>
      </c>
      <c r="D4728" s="84" t="s">
        <v>167</v>
      </c>
      <c r="E4728" s="85" t="s">
        <v>1905</v>
      </c>
      <c r="F4728" s="86" t="s">
        <v>1906</v>
      </c>
      <c r="G4728" s="86" t="s">
        <v>1907</v>
      </c>
    </row>
    <row r="4729" spans="1:7" ht="24">
      <c r="A4729" s="87" t="s">
        <v>2</v>
      </c>
      <c r="B4729" s="87">
        <v>88243</v>
      </c>
      <c r="C4729" s="278" t="s">
        <v>2100</v>
      </c>
      <c r="D4729" s="89" t="s">
        <v>137</v>
      </c>
      <c r="E4729" s="88">
        <v>0.1069</v>
      </c>
      <c r="F4729" s="89">
        <v>20.98</v>
      </c>
      <c r="G4729" s="89">
        <f>IF(D4729="","",E4729*F4729)</f>
        <v>2.2427619999999999</v>
      </c>
    </row>
    <row r="4730" spans="1:7" ht="24">
      <c r="A4730" s="87" t="s">
        <v>2</v>
      </c>
      <c r="B4730" s="87">
        <v>100308</v>
      </c>
      <c r="C4730" s="278" t="s">
        <v>1936</v>
      </c>
      <c r="D4730" s="89" t="s">
        <v>137</v>
      </c>
      <c r="E4730" s="88">
        <v>0.47049999999999997</v>
      </c>
      <c r="F4730" s="89">
        <v>25.97</v>
      </c>
      <c r="G4730" s="89">
        <f>IF(D4730="","",E4730*F4730)</f>
        <v>12.218884999999998</v>
      </c>
    </row>
    <row r="4731" spans="1:7">
      <c r="A4731" s="832" t="s">
        <v>1908</v>
      </c>
      <c r="B4731" s="833"/>
      <c r="C4731" s="833"/>
      <c r="D4731" s="833"/>
      <c r="E4731" s="833"/>
      <c r="F4731" s="834"/>
      <c r="G4731" s="90">
        <f>IF(F4729="","",(SUM(G4729:G4730)))</f>
        <v>14.461646999999999</v>
      </c>
    </row>
    <row r="4732" spans="1:7">
      <c r="A4732" s="91"/>
      <c r="B4732" s="92"/>
      <c r="C4732" s="162"/>
      <c r="D4732" s="92"/>
      <c r="E4732" s="97"/>
      <c r="F4732" s="98"/>
      <c r="G4732" s="96"/>
    </row>
    <row r="4733" spans="1:7">
      <c r="A4733" s="835" t="s">
        <v>1912</v>
      </c>
      <c r="B4733" s="836"/>
      <c r="C4733" s="836"/>
      <c r="D4733" s="836"/>
      <c r="E4733" s="836"/>
      <c r="F4733" s="836"/>
      <c r="G4733" s="837"/>
    </row>
    <row r="4734" spans="1:7">
      <c r="A4734" s="84" t="s">
        <v>1903</v>
      </c>
      <c r="B4734" s="84" t="s">
        <v>131</v>
      </c>
      <c r="C4734" s="160" t="s">
        <v>1904</v>
      </c>
      <c r="D4734" s="84" t="s">
        <v>167</v>
      </c>
      <c r="E4734" s="85" t="s">
        <v>1905</v>
      </c>
      <c r="F4734" s="86" t="s">
        <v>1906</v>
      </c>
      <c r="G4734" s="86" t="s">
        <v>1907</v>
      </c>
    </row>
    <row r="4735" spans="1:7" ht="25.5" customHeight="1">
      <c r="A4735" s="87" t="s">
        <v>1917</v>
      </c>
      <c r="B4735" s="87" t="s">
        <v>2173</v>
      </c>
      <c r="C4735" s="278" t="str">
        <f>'Mapa Cotações'!B178</f>
        <v>COLA PARA ISOPOR, LÃ DE VIDRO, LÃ DE ROCHA (GALÃO 3,6L)</v>
      </c>
      <c r="D4735" s="89" t="s">
        <v>167</v>
      </c>
      <c r="E4735" s="88">
        <f>1/12</f>
        <v>8.3333333333333329E-2</v>
      </c>
      <c r="F4735" s="89">
        <f>'Mapa Cotações'!M178</f>
        <v>133.4</v>
      </c>
      <c r="G4735" s="89">
        <f>IF(D4735="","",E4735*F4735)</f>
        <v>11.116666666666667</v>
      </c>
    </row>
    <row r="4736" spans="1:7" ht="24">
      <c r="A4736" s="87" t="s">
        <v>2</v>
      </c>
      <c r="B4736" s="87">
        <v>408</v>
      </c>
      <c r="C4736" s="278" t="s">
        <v>2174</v>
      </c>
      <c r="D4736" s="89" t="s">
        <v>167</v>
      </c>
      <c r="E4736" s="88">
        <v>0.8</v>
      </c>
      <c r="F4736" s="89">
        <v>0.99</v>
      </c>
      <c r="G4736" s="89">
        <f>IF(D4736="","",E4736*F4736)</f>
        <v>0.79200000000000004</v>
      </c>
    </row>
    <row r="4737" spans="1:11">
      <c r="A4737" s="87"/>
      <c r="B4737" s="87"/>
      <c r="C4737" s="278" t="str">
        <f>IF(B4737="","",IF($A$8="NÃO DESONERADO",(IF(A4737="SINAPI",VLOOKUP(B4737,#REF!,2,0),IF(A4737="SUDECAP",VLOOKUP(B4737,#REF!,3,0),IF(A4737="SETOP",VLOOKUP(B4737,#REF!,2,0),IF(A4737="COTAÇÃO",VLOOKUP(B4737,'Mapa Cotações'!$A:$N,2,0)))))),(IF(A4737="SINAPI",VLOOKUP(B4737,#REF!,2,0),IF(A4737="SUDECAP",VLOOKUP(B4737,#REF!,3,0),IF(A4737="SETOP",VLOOKUP(B4737,#REF!,2,0),IF(A4737="COTAÇÃO",VLOOKUP(B4737,'Mapa Cotações'!$A:$N,2,0))))))))</f>
        <v/>
      </c>
      <c r="D4737" s="89" t="str">
        <f>IF(B4737="","",IF($A$8="NÃO DESONERADO",(IF(A4737="SINAPI",VLOOKUP(B4737,#REF!,3,0),IF(A4737="SUDECAP",VLOOKUP(B4737,#REF!,4,0),IF(A4737="SETOP",VLOOKUP(B4737,#REF!,3,0),IF(A4737="COTAÇÃO",VLOOKUP(B4737,'Mapa Cotações'!$A:$N,3,0)))))),(IF(A4737="SINAPI",VLOOKUP(B4737,#REF!,3,0),IF(A4737="SUDECAP",VLOOKUP(B4737,#REF!,4,0),IF(A4737="SETOP",VLOOKUP(B4737,#REF!,3,0),IF(A4737="COTAÇÃO",VLOOKUP(B4737,'Mapa Cotações'!$A:$N,3,0))))))))</f>
        <v/>
      </c>
      <c r="E4737" s="88"/>
      <c r="F4737" s="89" t="str">
        <f>IF(B4737="","",IF($A$8="NÃO DESONERADO",(IF(A4737="SINAPI",VLOOKUP(B4737,#REF!,4,0),IF(A4737="SUDECAP",VLOOKUP(B4737,#REF!,5,0),IF(A4737="SETOP",VLOOKUP(B4737,#REF!,4,0),IF(A4737="COTAÇÃO",VLOOKUP(B4737,'Mapa Cotações'!$A:$N,13,0)))))),(IF(A4737="SINAPI",VLOOKUP(B4737,#REF!,4,0),IF(A4737="SUDECAP",VLOOKUP(B4737,#REF!,5,0),IF(A4737="SETOP",VLOOKUP(B4737,#REF!,4,0),IF(A4737="COTAÇÃO",VLOOKUP(B4737,'Mapa Cotações'!$A:$N,13,0))))))))</f>
        <v/>
      </c>
      <c r="G4737" s="89" t="str">
        <f>IF(D4737="","",E4737*F4737)</f>
        <v/>
      </c>
    </row>
    <row r="4738" spans="1:11">
      <c r="A4738" s="832" t="s">
        <v>1908</v>
      </c>
      <c r="B4738" s="833" t="s">
        <v>1908</v>
      </c>
      <c r="C4738" s="833"/>
      <c r="D4738" s="833"/>
      <c r="E4738" s="833"/>
      <c r="F4738" s="834"/>
      <c r="G4738" s="90">
        <f>IF(F4735="","",(SUM(G4735:G4737)))</f>
        <v>11.908666666666667</v>
      </c>
    </row>
    <row r="4739" spans="1:11" ht="13.5" thickBot="1">
      <c r="A4739" s="91"/>
      <c r="B4739" s="92"/>
      <c r="C4739" s="163"/>
      <c r="D4739" s="99"/>
      <c r="E4739" s="100"/>
      <c r="F4739" s="101"/>
      <c r="G4739" s="102"/>
    </row>
    <row r="4740" spans="1:11" ht="13.5" thickBot="1">
      <c r="A4740" s="838" t="s">
        <v>1259</v>
      </c>
      <c r="B4740" s="839"/>
      <c r="C4740" s="839"/>
      <c r="D4740" s="839"/>
      <c r="E4740" s="839"/>
      <c r="F4740" s="840"/>
      <c r="G4740" s="103">
        <f>SUM(G4725,G4731,G4738)</f>
        <v>44.666980333333335</v>
      </c>
    </row>
    <row r="4743" spans="1:11">
      <c r="A4743" s="237" t="s">
        <v>131</v>
      </c>
      <c r="B4743" s="190" t="s">
        <v>27</v>
      </c>
      <c r="C4743" s="841" t="s">
        <v>1281</v>
      </c>
      <c r="D4743" s="841"/>
      <c r="E4743" s="841"/>
      <c r="F4743" s="841"/>
      <c r="G4743" s="81" t="s">
        <v>127</v>
      </c>
      <c r="I4743" s="480" t="s">
        <v>1901</v>
      </c>
      <c r="J4743" s="80"/>
      <c r="K4743" s="80"/>
    </row>
    <row r="4744" spans="1:11" ht="59.25" customHeight="1">
      <c r="A4744" s="179" t="s">
        <v>1187</v>
      </c>
      <c r="B4744" s="82"/>
      <c r="C4744" s="830" t="s">
        <v>1855</v>
      </c>
      <c r="D4744" s="831"/>
      <c r="E4744" s="831"/>
      <c r="F4744" s="186">
        <f>G4767</f>
        <v>88.96546566666666</v>
      </c>
      <c r="G4744" s="83" t="s">
        <v>180</v>
      </c>
      <c r="I4744" s="481"/>
      <c r="J4744" s="272"/>
      <c r="K4744" s="272"/>
    </row>
    <row r="4745" spans="1:11">
      <c r="A4745" s="818" t="s">
        <v>1902</v>
      </c>
      <c r="B4745" s="819"/>
      <c r="C4745" s="819"/>
      <c r="D4745" s="819"/>
      <c r="E4745" s="819"/>
      <c r="F4745" s="819"/>
      <c r="G4745" s="820"/>
    </row>
    <row r="4746" spans="1:11">
      <c r="A4746" s="84" t="s">
        <v>1903</v>
      </c>
      <c r="B4746" s="84" t="s">
        <v>131</v>
      </c>
      <c r="C4746" s="160" t="s">
        <v>1904</v>
      </c>
      <c r="D4746" s="84" t="s">
        <v>167</v>
      </c>
      <c r="E4746" s="85" t="s">
        <v>1905</v>
      </c>
      <c r="F4746" s="86" t="s">
        <v>1906</v>
      </c>
      <c r="G4746" s="86" t="s">
        <v>1907</v>
      </c>
    </row>
    <row r="4747" spans="1:11" ht="72">
      <c r="A4747" s="87" t="s">
        <v>1917</v>
      </c>
      <c r="B4747" s="87" t="s">
        <v>2175</v>
      </c>
      <c r="C4747" s="278" t="str">
        <f>IF(B4747="","",IF($A$8="NÃO DESONERADO",(IF(A4747="SINAPI",VLOOKUP(B4747,#REF!,2,0),IF(A4747="SUDECAP",VLOOKUP(B4747,#REF!,3,0),IF(A4747="SETOP",VLOOKUP(B4747,#REF!,2,0),IF(A4747="COTAÇÃO",VLOOKUP(B4747,'Mapa Cotações'!$A:$N,2,0)))))),(IF(A4747="SINAPI",VLOOKUP(B4747,#REF!,2,0),IF(A4747="SUDECAP",VLOOKUP(B4747,#REF!,3,0),IF(A4747="SETOP",VLOOKUP(B4747,#REF!,2,0),IF(A4747="COTAÇÃO",VLOOKUP(B4747,'Mapa Cotações'!$A:$N,2,0))))))))</f>
        <v>DUTO FLEXÍVEL ISOLADO E ACÚSTICO, FABRICADOS EXTERNAMENTE EM FOLHA DE ALUMÍNIO, ARAME EM AÇO CARBONO, ISOLAMENTO  DE LÂ DE VIDRO 16 KG/M3, DUTO INTERNO EM FOLHA DE ALUMÍNIO COM MICRO FUROS.  MODELO SONODEC RT 1.2 - DIÂMETRO = 10" (263 MM). REF.: MULTIVAC OU EQUIVALENTE</v>
      </c>
      <c r="D4747" s="89" t="str">
        <f>IF(B4747="","",IF($A$8="NÃO DESONERADO",(IF(A4747="SINAPI",VLOOKUP(B4747,#REF!,3,0),IF(A4747="SUDECAP",VLOOKUP(B4747,#REF!,4,0),IF(A4747="SETOP",VLOOKUP(B4747,#REF!,3,0),IF(A4747="COTAÇÃO",VLOOKUP(B4747,'Mapa Cotações'!$A:$N,3,0)))))),(IF(A4747="SINAPI",VLOOKUP(B4747,#REF!,3,0),IF(A4747="SUDECAP",VLOOKUP(B4747,#REF!,4,0),IF(A4747="SETOP",VLOOKUP(B4747,#REF!,3,0),IF(A4747="COTAÇÃO",VLOOKUP(B4747,'Mapa Cotações'!$A:$N,3,0))))))))</f>
        <v>M</v>
      </c>
      <c r="E4747" s="88">
        <f>1.1/6</f>
        <v>0.18333333333333335</v>
      </c>
      <c r="F4747" s="89">
        <f>IF(B4747="","",IF($A$8="NÃO DESONERADO",(IF(A4747="SINAPI",VLOOKUP(B4747,#REF!,4,0),IF(A4747="SUDECAP",VLOOKUP(B4747,#REF!,5,0),IF(A4747="SETOP",VLOOKUP(B4747,#REF!,4,0),IF(A4747="COTAÇÃO",VLOOKUP(B4747,'Mapa Cotações'!$A:$N,13,0)))))),(IF(A4747="SINAPI",VLOOKUP(B4747,#REF!,4,0),IF(A4747="SUDECAP",VLOOKUP(B4747,#REF!,5,0),IF(A4747="SETOP",VLOOKUP(B4747,#REF!,4,0),IF(A4747="COTAÇÃO",VLOOKUP(B4747,'Mapa Cotações'!$A:$N,13,0))))))))</f>
        <v>299</v>
      </c>
      <c r="G4747" s="89">
        <f>IF(D4747="","",E4747*F4747)</f>
        <v>54.81666666666667</v>
      </c>
    </row>
    <row r="4748" spans="1:11">
      <c r="A4748" s="87"/>
      <c r="B4748" s="87"/>
      <c r="C4748" s="278" t="str">
        <f>IF(B4748="","",IF($A$8="NÃO DESONERADO",(IF(A4748="SINAPI",VLOOKUP(B4748,#REF!,2,0),IF(A4748="SUDECAP",VLOOKUP(B4748,#REF!,3,0),IF(A4748="SETOP",VLOOKUP(B4748,#REF!,2,0),IF(A4748="COTAÇÃO",VLOOKUP(B4748,'Mapa Cotações'!$A:$N,2,0)))))),(IF(A4748="SINAPI",VLOOKUP(B4748,#REF!,2,0),IF(A4748="SUDECAP",VLOOKUP(B4748,#REF!,3,0),IF(A4748="SETOP",VLOOKUP(B4748,#REF!,2,0),IF(A4748="COTAÇÃO",VLOOKUP(B4748,'Mapa Cotações'!$A:$N,2,0))))))))</f>
        <v/>
      </c>
      <c r="D4748" s="89" t="str">
        <f>IF(B4748="","",IF($A$8="NÃO DESONERADO",(IF(A4748="SINAPI",VLOOKUP(B4748,#REF!,3,0),IF(A4748="SUDECAP",VLOOKUP(B4748,#REF!,4,0),IF(A4748="SETOP",VLOOKUP(B4748,#REF!,3,0),IF(A4748="COTAÇÃO",VLOOKUP(B4748,'Mapa Cotações'!$A:$N,3,0)))))),(IF(A4748="SINAPI",VLOOKUP(B4748,#REF!,3,0),IF(A4748="SUDECAP",VLOOKUP(B4748,#REF!,4,0),IF(A4748="SETOP",VLOOKUP(B4748,#REF!,3,0),IF(A4748="COTAÇÃO",VLOOKUP(B4748,'Mapa Cotações'!$A:$N,3,0))))))))</f>
        <v/>
      </c>
      <c r="E4748" s="88"/>
      <c r="F4748" s="89" t="str">
        <f>IF(B4748="","",IF($A$8="NÃO DESONERADO",(IF(A4748="SINAPI",VLOOKUP(B4748,#REF!,4,0),IF(A4748="SUDECAP",VLOOKUP(B4748,#REF!,5,0),IF(A4748="SETOP",VLOOKUP(B4748,#REF!,4,0),IF(A4748="COTAÇÃO",VLOOKUP(B4748,'Mapa Cotações'!$A:$N,13,0)))))),(IF(A4748="SINAPI",VLOOKUP(B4748,#REF!,4,0),IF(A4748="SUDECAP",VLOOKUP(B4748,#REF!,5,0),IF(A4748="SETOP",VLOOKUP(B4748,#REF!,4,0),IF(A4748="COTAÇÃO",VLOOKUP(B4748,'Mapa Cotações'!$A:$N,13,0))))))))</f>
        <v/>
      </c>
      <c r="G4748" s="89" t="str">
        <f>IF(D4748="","",E4748*F4748)</f>
        <v/>
      </c>
    </row>
    <row r="4749" spans="1:11">
      <c r="A4749" s="832" t="s">
        <v>1908</v>
      </c>
      <c r="B4749" s="833"/>
      <c r="C4749" s="833"/>
      <c r="D4749" s="833"/>
      <c r="E4749" s="833"/>
      <c r="F4749" s="834"/>
      <c r="G4749" s="90">
        <f>IF(F4747="","",(SUM(G4747:G4748)))</f>
        <v>54.81666666666667</v>
      </c>
    </row>
    <row r="4750" spans="1:11">
      <c r="A4750" s="91"/>
      <c r="B4750" s="92"/>
      <c r="C4750" s="161"/>
      <c r="D4750" s="93"/>
      <c r="E4750" s="94"/>
      <c r="F4750" s="95"/>
      <c r="G4750" s="96"/>
    </row>
    <row r="4751" spans="1:11">
      <c r="A4751" s="835" t="s">
        <v>1909</v>
      </c>
      <c r="B4751" s="836"/>
      <c r="C4751" s="836"/>
      <c r="D4751" s="836"/>
      <c r="E4751" s="836"/>
      <c r="F4751" s="836"/>
      <c r="G4751" s="837"/>
    </row>
    <row r="4752" spans="1:11">
      <c r="A4752" s="84" t="s">
        <v>1903</v>
      </c>
      <c r="B4752" s="84" t="s">
        <v>131</v>
      </c>
      <c r="C4752" s="160" t="s">
        <v>1904</v>
      </c>
      <c r="D4752" s="84" t="s">
        <v>167</v>
      </c>
      <c r="E4752" s="85" t="s">
        <v>1905</v>
      </c>
      <c r="F4752" s="86" t="s">
        <v>1906</v>
      </c>
      <c r="G4752" s="86" t="s">
        <v>1907</v>
      </c>
    </row>
    <row r="4753" spans="1:7" ht="24">
      <c r="A4753" s="87" t="s">
        <v>2</v>
      </c>
      <c r="B4753" s="87">
        <v>88243</v>
      </c>
      <c r="C4753" s="278" t="s">
        <v>2100</v>
      </c>
      <c r="D4753" s="89" t="s">
        <v>137</v>
      </c>
      <c r="E4753" s="88">
        <f>0.1069*5</f>
        <v>0.53449999999999998</v>
      </c>
      <c r="F4753" s="89">
        <v>20.98</v>
      </c>
      <c r="G4753" s="89">
        <f>IF(D4753="","",E4753*F4753)</f>
        <v>11.21381</v>
      </c>
    </row>
    <row r="4754" spans="1:7" ht="24">
      <c r="A4754" s="87" t="s">
        <v>2</v>
      </c>
      <c r="B4754" s="87">
        <v>100308</v>
      </c>
      <c r="C4754" s="278" t="s">
        <v>1936</v>
      </c>
      <c r="D4754" s="89" t="s">
        <v>137</v>
      </c>
      <c r="E4754" s="88">
        <f>0.1069*5</f>
        <v>0.53449999999999998</v>
      </c>
      <c r="F4754" s="89">
        <v>25.97</v>
      </c>
      <c r="G4754" s="89">
        <f>IF(D4754="","",E4754*F4754)</f>
        <v>13.880964999999998</v>
      </c>
    </row>
    <row r="4755" spans="1:7">
      <c r="A4755" s="832" t="s">
        <v>1908</v>
      </c>
      <c r="B4755" s="833"/>
      <c r="C4755" s="833"/>
      <c r="D4755" s="833"/>
      <c r="E4755" s="833"/>
      <c r="F4755" s="834"/>
      <c r="G4755" s="90">
        <f>IF(F4753="","",(SUM(G4753:G4754)))</f>
        <v>25.094774999999998</v>
      </c>
    </row>
    <row r="4756" spans="1:7">
      <c r="A4756" s="91"/>
      <c r="B4756" s="92"/>
      <c r="C4756" s="162"/>
      <c r="D4756" s="92"/>
      <c r="E4756" s="97"/>
      <c r="F4756" s="98"/>
      <c r="G4756" s="96"/>
    </row>
    <row r="4757" spans="1:7">
      <c r="A4757" s="835" t="s">
        <v>1912</v>
      </c>
      <c r="B4757" s="836"/>
      <c r="C4757" s="836"/>
      <c r="D4757" s="836"/>
      <c r="E4757" s="836"/>
      <c r="F4757" s="836"/>
      <c r="G4757" s="837"/>
    </row>
    <row r="4758" spans="1:7">
      <c r="A4758" s="84" t="s">
        <v>1903</v>
      </c>
      <c r="B4758" s="84" t="s">
        <v>131</v>
      </c>
      <c r="C4758" s="160" t="s">
        <v>1904</v>
      </c>
      <c r="D4758" s="84" t="s">
        <v>167</v>
      </c>
      <c r="E4758" s="85" t="s">
        <v>1905</v>
      </c>
      <c r="F4758" s="86" t="s">
        <v>1906</v>
      </c>
      <c r="G4758" s="86" t="s">
        <v>1907</v>
      </c>
    </row>
    <row r="4759" spans="1:7" ht="27" customHeight="1">
      <c r="A4759" s="87" t="s">
        <v>2</v>
      </c>
      <c r="B4759" s="87">
        <v>408</v>
      </c>
      <c r="C4759" s="278" t="s">
        <v>2174</v>
      </c>
      <c r="D4759" s="89" t="s">
        <v>167</v>
      </c>
      <c r="E4759" s="88">
        <v>0.4</v>
      </c>
      <c r="F4759" s="89">
        <v>0.99</v>
      </c>
      <c r="G4759" s="89">
        <f t="shared" ref="G4759:G4764" si="58">IF(D4759="","",E4759*F4759)</f>
        <v>0.39600000000000002</v>
      </c>
    </row>
    <row r="4760" spans="1:7" ht="31.9" customHeight="1">
      <c r="A4760" s="87" t="s">
        <v>2</v>
      </c>
      <c r="B4760" s="87">
        <v>11929</v>
      </c>
      <c r="C4760" s="278" t="s">
        <v>2176</v>
      </c>
      <c r="D4760" s="89" t="s">
        <v>167</v>
      </c>
      <c r="E4760" s="88">
        <v>0.08</v>
      </c>
      <c r="F4760" s="89">
        <v>18.72</v>
      </c>
      <c r="G4760" s="89">
        <f t="shared" si="58"/>
        <v>1.4976</v>
      </c>
    </row>
    <row r="4761" spans="1:7" ht="36">
      <c r="A4761" s="87" t="s">
        <v>3</v>
      </c>
      <c r="B4761" s="87" t="s">
        <v>2160</v>
      </c>
      <c r="C4761" s="278" t="s">
        <v>2161</v>
      </c>
      <c r="D4761" s="89" t="s">
        <v>180</v>
      </c>
      <c r="E4761" s="88">
        <v>0.4</v>
      </c>
      <c r="F4761" s="89">
        <v>14.76</v>
      </c>
      <c r="G4761" s="89">
        <f t="shared" si="58"/>
        <v>5.9039999999999999</v>
      </c>
    </row>
    <row r="4762" spans="1:7" ht="36">
      <c r="A4762" s="87" t="s">
        <v>3</v>
      </c>
      <c r="B4762" s="87" t="s">
        <v>2162</v>
      </c>
      <c r="C4762" s="278" t="s">
        <v>2163</v>
      </c>
      <c r="D4762" s="89" t="s">
        <v>2164</v>
      </c>
      <c r="E4762" s="88">
        <v>0.08</v>
      </c>
      <c r="F4762" s="88">
        <v>15.4635</v>
      </c>
      <c r="G4762" s="89">
        <f t="shared" si="58"/>
        <v>1.23708</v>
      </c>
    </row>
    <row r="4763" spans="1:7" ht="24">
      <c r="A4763" s="87" t="s">
        <v>3</v>
      </c>
      <c r="B4763" s="87" t="s">
        <v>2165</v>
      </c>
      <c r="C4763" s="278" t="s">
        <v>2166</v>
      </c>
      <c r="D4763" s="89" t="s">
        <v>167</v>
      </c>
      <c r="E4763" s="88">
        <v>0.08</v>
      </c>
      <c r="F4763" s="88">
        <v>0.13100000000000001</v>
      </c>
      <c r="G4763" s="89">
        <f t="shared" si="58"/>
        <v>1.0480000000000001E-2</v>
      </c>
    </row>
    <row r="4764" spans="1:7" ht="36">
      <c r="A4764" s="87" t="s">
        <v>3</v>
      </c>
      <c r="B4764" s="87" t="s">
        <v>2167</v>
      </c>
      <c r="C4764" s="278" t="s">
        <v>2168</v>
      </c>
      <c r="D4764" s="89" t="s">
        <v>167</v>
      </c>
      <c r="E4764" s="88">
        <v>0.08</v>
      </c>
      <c r="F4764" s="88">
        <v>0.1108</v>
      </c>
      <c r="G4764" s="89">
        <f t="shared" si="58"/>
        <v>8.8640000000000004E-3</v>
      </c>
    </row>
    <row r="4765" spans="1:7">
      <c r="A4765" s="832" t="s">
        <v>1908</v>
      </c>
      <c r="B4765" s="833" t="s">
        <v>1908</v>
      </c>
      <c r="C4765" s="833"/>
      <c r="D4765" s="833"/>
      <c r="E4765" s="833"/>
      <c r="F4765" s="834"/>
      <c r="G4765" s="90">
        <f>SUM(G4759:G4764)</f>
        <v>9.0540240000000001</v>
      </c>
    </row>
    <row r="4766" spans="1:7" ht="13.5" thickBot="1">
      <c r="A4766" s="91"/>
      <c r="B4766" s="92"/>
      <c r="C4766" s="163"/>
      <c r="D4766" s="99"/>
      <c r="E4766" s="100"/>
      <c r="F4766" s="101"/>
      <c r="G4766" s="102"/>
    </row>
    <row r="4767" spans="1:7" ht="13.5" thickBot="1">
      <c r="A4767" s="838" t="s">
        <v>1259</v>
      </c>
      <c r="B4767" s="839"/>
      <c r="C4767" s="839"/>
      <c r="D4767" s="839"/>
      <c r="E4767" s="839"/>
      <c r="F4767" s="840"/>
      <c r="G4767" s="103">
        <f>SUM(G4749,G4755,G4765)</f>
        <v>88.96546566666666</v>
      </c>
    </row>
    <row r="4770" spans="1:11">
      <c r="A4770" s="237" t="s">
        <v>131</v>
      </c>
      <c r="B4770" s="190" t="s">
        <v>27</v>
      </c>
      <c r="C4770" s="841" t="s">
        <v>1281</v>
      </c>
      <c r="D4770" s="841"/>
      <c r="E4770" s="841"/>
      <c r="F4770" s="841"/>
      <c r="G4770" s="81" t="s">
        <v>127</v>
      </c>
      <c r="I4770" s="480" t="s">
        <v>1901</v>
      </c>
      <c r="J4770" s="80"/>
      <c r="K4770" s="80"/>
    </row>
    <row r="4771" spans="1:11" ht="57.75" customHeight="1">
      <c r="A4771" s="179" t="s">
        <v>1190</v>
      </c>
      <c r="B4771" s="82"/>
      <c r="C4771" s="830" t="s">
        <v>1857</v>
      </c>
      <c r="D4771" s="831"/>
      <c r="E4771" s="831"/>
      <c r="F4771" s="186">
        <f>G4795</f>
        <v>74.011677333333338</v>
      </c>
      <c r="G4771" s="83" t="s">
        <v>180</v>
      </c>
      <c r="I4771" s="481"/>
      <c r="J4771" s="272"/>
      <c r="K4771" s="272"/>
    </row>
    <row r="4772" spans="1:11">
      <c r="A4772" s="818" t="s">
        <v>1902</v>
      </c>
      <c r="B4772" s="819"/>
      <c r="C4772" s="819"/>
      <c r="D4772" s="819"/>
      <c r="E4772" s="819"/>
      <c r="F4772" s="819"/>
      <c r="G4772" s="820"/>
    </row>
    <row r="4773" spans="1:11">
      <c r="A4773" s="84" t="s">
        <v>1903</v>
      </c>
      <c r="B4773" s="84" t="s">
        <v>131</v>
      </c>
      <c r="C4773" s="160" t="s">
        <v>1904</v>
      </c>
      <c r="D4773" s="84" t="s">
        <v>167</v>
      </c>
      <c r="E4773" s="85" t="s">
        <v>1905</v>
      </c>
      <c r="F4773" s="86" t="s">
        <v>1906</v>
      </c>
      <c r="G4773" s="86" t="s">
        <v>1907</v>
      </c>
    </row>
    <row r="4774" spans="1:11" ht="72">
      <c r="A4774" s="87" t="s">
        <v>1917</v>
      </c>
      <c r="B4774" s="87" t="s">
        <v>2177</v>
      </c>
      <c r="C4774" s="278" t="str">
        <f>IF(B4774="","",IF($A$8="NÃO DESONERADO",(IF(A4774="SINAPI",VLOOKUP(B4774,#REF!,2,0),IF(A4774="SUDECAP",VLOOKUP(B4774,#REF!,3,0),IF(A4774="SETOP",VLOOKUP(B4774,#REF!,2,0),IF(A4774="COTAÇÃO",VLOOKUP(B4774,'Mapa Cotações'!$A:$N,2,0)))))),(IF(A4774="SINAPI",VLOOKUP(B4774,#REF!,2,0),IF(A4774="SUDECAP",VLOOKUP(B4774,#REF!,3,0),IF(A4774="SETOP",VLOOKUP(B4774,#REF!,2,0),IF(A4774="COTAÇÃO",VLOOKUP(B4774,'Mapa Cotações'!$A:$N,2,0))))))))</f>
        <v>DUTO FLEXÍVEL ISOLADO E ACÚSTICO, FABRICADOS EXTERNAMENTE EM FOLHA DE ALUMÍNIO, ARAME EM AÇO CARBONO, ISOLAMENTO  DE LÂ DE VIDRO 16 KG/M3, DUTO INTERNO EM FOLHA DE ALUMÍNIO COM MICRO FUROS.  MODELO SONODEC RT 1.2 - DIÂMETRO = 8" (209 MM). REF.: MULTIVAC OU EQUIVALENTE</v>
      </c>
      <c r="D4774" s="89" t="str">
        <f>IF(B4774="","",IF($A$8="NÃO DESONERADO",(IF(A4774="SINAPI",VLOOKUP(B4774,#REF!,3,0),IF(A4774="SUDECAP",VLOOKUP(B4774,#REF!,4,0),IF(A4774="SETOP",VLOOKUP(B4774,#REF!,3,0),IF(A4774="COTAÇÃO",VLOOKUP(B4774,'Mapa Cotações'!$A:$N,3,0)))))),(IF(A4774="SINAPI",VLOOKUP(B4774,#REF!,3,0),IF(A4774="SUDECAP",VLOOKUP(B4774,#REF!,4,0),IF(A4774="SETOP",VLOOKUP(B4774,#REF!,3,0),IF(A4774="COTAÇÃO",VLOOKUP(B4774,'Mapa Cotações'!$A:$N,3,0))))))))</f>
        <v>M</v>
      </c>
      <c r="E4774" s="88">
        <f>1.1/6</f>
        <v>0.18333333333333335</v>
      </c>
      <c r="F4774" s="89">
        <f>IF(B4774="","",IF($A$8="NÃO DESONERADO",(IF(A4774="SINAPI",VLOOKUP(B4774,#REF!,4,0),IF(A4774="SUDECAP",VLOOKUP(B4774,#REF!,5,0),IF(A4774="SETOP",VLOOKUP(B4774,#REF!,4,0),IF(A4774="COTAÇÃO",VLOOKUP(B4774,'Mapa Cotações'!$A:$N,13,0)))))),(IF(A4774="SINAPI",VLOOKUP(B4774,#REF!,4,0),IF(A4774="SUDECAP",VLOOKUP(B4774,#REF!,5,0),IF(A4774="SETOP",VLOOKUP(B4774,#REF!,4,0),IF(A4774="COTAÇÃO",VLOOKUP(B4774,'Mapa Cotações'!$A:$N,13,0))))))))</f>
        <v>246.97</v>
      </c>
      <c r="G4774" s="89">
        <f>IF(D4774="","",E4774*F4774)</f>
        <v>45.277833333333334</v>
      </c>
    </row>
    <row r="4775" spans="1:11">
      <c r="A4775" s="87"/>
      <c r="B4775" s="87"/>
      <c r="C4775" s="278" t="str">
        <f>IF(B4775="","",IF($A$8="NÃO DESONERADO",(IF(A4775="SINAPI",VLOOKUP(B4775,#REF!,2,0),IF(A4775="SUDECAP",VLOOKUP(B4775,#REF!,3,0),IF(A4775="SETOP",VLOOKUP(B4775,#REF!,2,0),IF(A4775="COTAÇÃO",VLOOKUP(B4775,'Mapa Cotações'!$A:$N,2,0)))))),(IF(A4775="SINAPI",VLOOKUP(B4775,#REF!,2,0),IF(A4775="SUDECAP",VLOOKUP(B4775,#REF!,3,0),IF(A4775="SETOP",VLOOKUP(B4775,#REF!,2,0),IF(A4775="COTAÇÃO",VLOOKUP(B4775,'Mapa Cotações'!$A:$N,2,0))))))))</f>
        <v/>
      </c>
      <c r="D4775" s="89" t="str">
        <f>IF(B4775="","",IF($A$8="NÃO DESONERADO",(IF(A4775="SINAPI",VLOOKUP(B4775,#REF!,3,0),IF(A4775="SUDECAP",VLOOKUP(B4775,#REF!,4,0),IF(A4775="SETOP",VLOOKUP(B4775,#REF!,3,0),IF(A4775="COTAÇÃO",VLOOKUP(B4775,'Mapa Cotações'!$A:$N,3,0)))))),(IF(A4775="SINAPI",VLOOKUP(B4775,#REF!,3,0),IF(A4775="SUDECAP",VLOOKUP(B4775,#REF!,4,0),IF(A4775="SETOP",VLOOKUP(B4775,#REF!,3,0),IF(A4775="COTAÇÃO",VLOOKUP(B4775,'Mapa Cotações'!$A:$N,3,0))))))))</f>
        <v/>
      </c>
      <c r="E4775" s="88"/>
      <c r="F4775" s="89" t="str">
        <f>IF(B4775="","",IF($A$8="NÃO DESONERADO",(IF(A4775="SINAPI",VLOOKUP(B4775,#REF!,4,0),IF(A4775="SUDECAP",VLOOKUP(B4775,#REF!,5,0),IF(A4775="SETOP",VLOOKUP(B4775,#REF!,4,0),IF(A4775="COTAÇÃO",VLOOKUP(B4775,'Mapa Cotações'!$A:$N,13,0)))))),(IF(A4775="SINAPI",VLOOKUP(B4775,#REF!,4,0),IF(A4775="SUDECAP",VLOOKUP(B4775,#REF!,5,0),IF(A4775="SETOP",VLOOKUP(B4775,#REF!,4,0),IF(A4775="COTAÇÃO",VLOOKUP(B4775,'Mapa Cotações'!$A:$N,13,0))))))))</f>
        <v/>
      </c>
      <c r="G4775" s="89" t="str">
        <f>IF(D4775="","",E4775*F4775)</f>
        <v/>
      </c>
    </row>
    <row r="4776" spans="1:11">
      <c r="A4776" s="832" t="s">
        <v>1908</v>
      </c>
      <c r="B4776" s="833"/>
      <c r="C4776" s="833"/>
      <c r="D4776" s="833"/>
      <c r="E4776" s="833"/>
      <c r="F4776" s="834"/>
      <c r="G4776" s="90">
        <f>IF(F4774="","",(SUM(G4774:G4775)))</f>
        <v>45.277833333333334</v>
      </c>
    </row>
    <row r="4777" spans="1:11">
      <c r="A4777" s="91"/>
      <c r="B4777" s="92"/>
      <c r="C4777" s="161"/>
      <c r="D4777" s="93"/>
      <c r="E4777" s="94"/>
      <c r="F4777" s="95"/>
      <c r="G4777" s="96"/>
    </row>
    <row r="4778" spans="1:11">
      <c r="A4778" s="835" t="s">
        <v>1909</v>
      </c>
      <c r="B4778" s="836"/>
      <c r="C4778" s="836"/>
      <c r="D4778" s="836"/>
      <c r="E4778" s="836"/>
      <c r="F4778" s="836"/>
      <c r="G4778" s="837"/>
    </row>
    <row r="4779" spans="1:11">
      <c r="A4779" s="84" t="s">
        <v>1903</v>
      </c>
      <c r="B4779" s="84" t="s">
        <v>131</v>
      </c>
      <c r="C4779" s="160" t="s">
        <v>1904</v>
      </c>
      <c r="D4779" s="84" t="s">
        <v>167</v>
      </c>
      <c r="E4779" s="85" t="s">
        <v>1905</v>
      </c>
      <c r="F4779" s="86" t="s">
        <v>1906</v>
      </c>
      <c r="G4779" s="86" t="s">
        <v>1907</v>
      </c>
    </row>
    <row r="4780" spans="1:11" ht="24">
      <c r="A4780" s="87" t="s">
        <v>2</v>
      </c>
      <c r="B4780" s="87">
        <v>88243</v>
      </c>
      <c r="C4780" s="278" t="s">
        <v>2100</v>
      </c>
      <c r="D4780" s="89" t="s">
        <v>137</v>
      </c>
      <c r="E4780" s="88">
        <f>0.1069*4</f>
        <v>0.42759999999999998</v>
      </c>
      <c r="F4780" s="89">
        <v>20.98</v>
      </c>
      <c r="G4780" s="89">
        <f>IF(D4780="","",E4780*F4780)</f>
        <v>8.9710479999999997</v>
      </c>
    </row>
    <row r="4781" spans="1:11" ht="24">
      <c r="A4781" s="87" t="s">
        <v>2</v>
      </c>
      <c r="B4781" s="87">
        <v>100308</v>
      </c>
      <c r="C4781" s="278" t="s">
        <v>1936</v>
      </c>
      <c r="D4781" s="89" t="s">
        <v>137</v>
      </c>
      <c r="E4781" s="88">
        <f>0.1069*4</f>
        <v>0.42759999999999998</v>
      </c>
      <c r="F4781" s="89">
        <v>25.97</v>
      </c>
      <c r="G4781" s="89">
        <f>IF(D4781="","",E4781*F4781)</f>
        <v>11.104771999999999</v>
      </c>
    </row>
    <row r="4782" spans="1:11">
      <c r="A4782" s="832" t="s">
        <v>1908</v>
      </c>
      <c r="B4782" s="833"/>
      <c r="C4782" s="833"/>
      <c r="D4782" s="833"/>
      <c r="E4782" s="833"/>
      <c r="F4782" s="834"/>
      <c r="G4782" s="90">
        <f>IF(F4780="","",(SUM(G4780:G4781)))</f>
        <v>20.07582</v>
      </c>
    </row>
    <row r="4783" spans="1:11">
      <c r="A4783" s="91"/>
      <c r="B4783" s="92"/>
      <c r="C4783" s="162"/>
      <c r="D4783" s="92"/>
      <c r="E4783" s="97"/>
      <c r="F4783" s="98"/>
      <c r="G4783" s="96"/>
    </row>
    <row r="4784" spans="1:11">
      <c r="A4784" s="835" t="s">
        <v>1912</v>
      </c>
      <c r="B4784" s="836"/>
      <c r="C4784" s="836"/>
      <c r="D4784" s="836"/>
      <c r="E4784" s="836"/>
      <c r="F4784" s="836"/>
      <c r="G4784" s="837"/>
    </row>
    <row r="4785" spans="1:11">
      <c r="A4785" s="84" t="s">
        <v>1903</v>
      </c>
      <c r="B4785" s="84" t="s">
        <v>131</v>
      </c>
      <c r="C4785" s="160" t="s">
        <v>1904</v>
      </c>
      <c r="D4785" s="84" t="s">
        <v>167</v>
      </c>
      <c r="E4785" s="85" t="s">
        <v>1905</v>
      </c>
      <c r="F4785" s="86" t="s">
        <v>1906</v>
      </c>
      <c r="G4785" s="86" t="s">
        <v>1907</v>
      </c>
    </row>
    <row r="4786" spans="1:11" ht="24">
      <c r="A4786" s="87" t="s">
        <v>2</v>
      </c>
      <c r="B4786" s="87">
        <v>408</v>
      </c>
      <c r="C4786" s="278" t="s">
        <v>2174</v>
      </c>
      <c r="D4786" s="89" t="s">
        <v>167</v>
      </c>
      <c r="E4786" s="88">
        <v>0.4</v>
      </c>
      <c r="F4786" s="89">
        <v>0.99</v>
      </c>
      <c r="G4786" s="89">
        <f t="shared" ref="G4786:G4791" si="59">IF(D4786="","",E4786*F4786)</f>
        <v>0.39600000000000002</v>
      </c>
    </row>
    <row r="4787" spans="1:11" ht="36">
      <c r="A4787" s="87" t="s">
        <v>2</v>
      </c>
      <c r="B4787" s="87">
        <v>11929</v>
      </c>
      <c r="C4787" s="278" t="s">
        <v>2176</v>
      </c>
      <c r="D4787" s="89" t="s">
        <v>1932</v>
      </c>
      <c r="E4787" s="88">
        <v>0.08</v>
      </c>
      <c r="F4787" s="89">
        <v>18.72</v>
      </c>
      <c r="G4787" s="89">
        <f t="shared" si="59"/>
        <v>1.4976</v>
      </c>
    </row>
    <row r="4788" spans="1:11" ht="36">
      <c r="A4788" s="87" t="s">
        <v>3</v>
      </c>
      <c r="B4788" s="87" t="s">
        <v>2160</v>
      </c>
      <c r="C4788" s="278" t="s">
        <v>2161</v>
      </c>
      <c r="D4788" s="89" t="s">
        <v>180</v>
      </c>
      <c r="E4788" s="88">
        <v>0.4</v>
      </c>
      <c r="F4788" s="89">
        <v>14.76</v>
      </c>
      <c r="G4788" s="89">
        <f t="shared" si="59"/>
        <v>5.9039999999999999</v>
      </c>
    </row>
    <row r="4789" spans="1:11" ht="36">
      <c r="A4789" s="87" t="s">
        <v>3</v>
      </c>
      <c r="B4789" s="87" t="s">
        <v>2162</v>
      </c>
      <c r="C4789" s="278" t="s">
        <v>2163</v>
      </c>
      <c r="D4789" s="89" t="s">
        <v>2164</v>
      </c>
      <c r="E4789" s="88">
        <v>0.08</v>
      </c>
      <c r="F4789" s="88">
        <v>15.4635</v>
      </c>
      <c r="G4789" s="89">
        <f t="shared" si="59"/>
        <v>1.23708</v>
      </c>
    </row>
    <row r="4790" spans="1:11" ht="24">
      <c r="A4790" s="87" t="s">
        <v>3</v>
      </c>
      <c r="B4790" s="87" t="s">
        <v>2165</v>
      </c>
      <c r="C4790" s="278" t="s">
        <v>2166</v>
      </c>
      <c r="D4790" s="89" t="s">
        <v>167</v>
      </c>
      <c r="E4790" s="88">
        <v>0.08</v>
      </c>
      <c r="F4790" s="88">
        <v>0.13100000000000001</v>
      </c>
      <c r="G4790" s="89">
        <f t="shared" si="59"/>
        <v>1.0480000000000001E-2</v>
      </c>
    </row>
    <row r="4791" spans="1:11" ht="36">
      <c r="A4791" s="87" t="s">
        <v>3</v>
      </c>
      <c r="B4791" s="87" t="s">
        <v>2167</v>
      </c>
      <c r="C4791" s="278" t="s">
        <v>2168</v>
      </c>
      <c r="D4791" s="89" t="s">
        <v>167</v>
      </c>
      <c r="E4791" s="88">
        <v>0.08</v>
      </c>
      <c r="F4791" s="88">
        <v>0.1108</v>
      </c>
      <c r="G4791" s="89">
        <f t="shared" si="59"/>
        <v>8.8640000000000004E-3</v>
      </c>
    </row>
    <row r="4792" spans="1:11">
      <c r="A4792" s="493"/>
      <c r="B4792" s="494"/>
      <c r="C4792" s="495"/>
      <c r="D4792" s="496"/>
      <c r="E4792" s="497"/>
      <c r="F4792" s="498"/>
      <c r="G4792" s="89"/>
    </row>
    <row r="4793" spans="1:11">
      <c r="A4793" s="832" t="s">
        <v>1908</v>
      </c>
      <c r="B4793" s="833" t="s">
        <v>1908</v>
      </c>
      <c r="C4793" s="833"/>
      <c r="D4793" s="833"/>
      <c r="E4793" s="833"/>
      <c r="F4793" s="834"/>
      <c r="G4793" s="90">
        <f>SUM(G4787:G4791)</f>
        <v>8.6580240000000011</v>
      </c>
    </row>
    <row r="4794" spans="1:11" ht="13.5" thickBot="1">
      <c r="A4794" s="91"/>
      <c r="B4794" s="92"/>
      <c r="C4794" s="163"/>
      <c r="D4794" s="99"/>
      <c r="E4794" s="100"/>
      <c r="F4794" s="101"/>
      <c r="G4794" s="102"/>
    </row>
    <row r="4795" spans="1:11" ht="13.5" thickBot="1">
      <c r="A4795" s="838" t="s">
        <v>1259</v>
      </c>
      <c r="B4795" s="839"/>
      <c r="C4795" s="839"/>
      <c r="D4795" s="839"/>
      <c r="E4795" s="839"/>
      <c r="F4795" s="840"/>
      <c r="G4795" s="103">
        <f>SUM(G4776,G4782,G4793)</f>
        <v>74.011677333333338</v>
      </c>
    </row>
    <row r="4798" spans="1:11">
      <c r="A4798" s="237" t="s">
        <v>131</v>
      </c>
      <c r="B4798" s="190" t="s">
        <v>27</v>
      </c>
      <c r="C4798" s="841" t="s">
        <v>1281</v>
      </c>
      <c r="D4798" s="841"/>
      <c r="E4798" s="841"/>
      <c r="F4798" s="841"/>
      <c r="G4798" s="81" t="s">
        <v>127</v>
      </c>
      <c r="I4798" s="480" t="s">
        <v>1901</v>
      </c>
      <c r="J4798" s="80"/>
      <c r="K4798" s="80"/>
    </row>
    <row r="4799" spans="1:11" ht="62.25" customHeight="1">
      <c r="A4799" s="179" t="s">
        <v>1193</v>
      </c>
      <c r="B4799" s="82"/>
      <c r="C4799" s="830" t="s">
        <v>1859</v>
      </c>
      <c r="D4799" s="831"/>
      <c r="E4799" s="831"/>
      <c r="F4799" s="186">
        <f>G4823</f>
        <v>60.024055666666669</v>
      </c>
      <c r="G4799" s="83" t="s">
        <v>180</v>
      </c>
      <c r="I4799" s="481"/>
      <c r="J4799" s="272"/>
      <c r="K4799" s="272"/>
    </row>
    <row r="4800" spans="1:11">
      <c r="A4800" s="818" t="s">
        <v>1902</v>
      </c>
      <c r="B4800" s="819"/>
      <c r="C4800" s="819"/>
      <c r="D4800" s="819"/>
      <c r="E4800" s="819"/>
      <c r="F4800" s="819"/>
      <c r="G4800" s="820"/>
    </row>
    <row r="4801" spans="1:7">
      <c r="A4801" s="84" t="s">
        <v>1903</v>
      </c>
      <c r="B4801" s="84" t="s">
        <v>131</v>
      </c>
      <c r="C4801" s="160" t="s">
        <v>1904</v>
      </c>
      <c r="D4801" s="84" t="s">
        <v>167</v>
      </c>
      <c r="E4801" s="85" t="s">
        <v>1905</v>
      </c>
      <c r="F4801" s="86" t="s">
        <v>1906</v>
      </c>
      <c r="G4801" s="86" t="s">
        <v>1907</v>
      </c>
    </row>
    <row r="4802" spans="1:7" ht="72">
      <c r="A4802" s="87" t="s">
        <v>1917</v>
      </c>
      <c r="B4802" s="87" t="s">
        <v>2178</v>
      </c>
      <c r="C4802" s="278" t="str">
        <f>IF(B4802="","",IF($A$8="NÃO DESONERADO",(IF(A4802="SINAPI",VLOOKUP(B4802,#REF!,2,0),IF(A4802="SUDECAP",VLOOKUP(B4802,#REF!,3,0),IF(A4802="SETOP",VLOOKUP(B4802,#REF!,2,0),IF(A4802="COTAÇÃO",VLOOKUP(B4802,'Mapa Cotações'!$A:$N,2,0)))))),(IF(A4802="SINAPI",VLOOKUP(B4802,#REF!,2,0),IF(A4802="SUDECAP",VLOOKUP(B4802,#REF!,3,0),IF(A4802="SETOP",VLOOKUP(B4802,#REF!,2,0),IF(A4802="COTAÇÃO",VLOOKUP(B4802,'Mapa Cotações'!$A:$N,2,0))))))))</f>
        <v>DUTO FLEXÍVEL ISOLADO E ACÚSTICO, FABRICADOS EXTERNAMENTE EM FOLHA DE ALUMÍNIO, ARAME EM AÇO CARBONO, ISOLAMENTO  DE LÂ DE VIDRO 16 KG/M3, DUTO INTERNO EM FOLHA DE ALUMÍNIO COM MICRO FUROS.  MODELO SONODEC RT 1.2 - DIÂMETRO = 6" (161 MM). REF.: MULTIVAC OU EQUIVALENTE</v>
      </c>
      <c r="D4802" s="89" t="str">
        <f>IF(B4802="","",IF($A$8="NÃO DESONERADO",(IF(A4802="SINAPI",VLOOKUP(B4802,#REF!,3,0),IF(A4802="SUDECAP",VLOOKUP(B4802,#REF!,4,0),IF(A4802="SETOP",VLOOKUP(B4802,#REF!,3,0),IF(A4802="COTAÇÃO",VLOOKUP(B4802,'Mapa Cotações'!$A:$N,3,0)))))),(IF(A4802="SINAPI",VLOOKUP(B4802,#REF!,3,0),IF(A4802="SUDECAP",VLOOKUP(B4802,#REF!,4,0),IF(A4802="SETOP",VLOOKUP(B4802,#REF!,3,0),IF(A4802="COTAÇÃO",VLOOKUP(B4802,'Mapa Cotações'!$A:$N,3,0))))))))</f>
        <v>M</v>
      </c>
      <c r="E4802" s="88">
        <f>1.1/6</f>
        <v>0.18333333333333335</v>
      </c>
      <c r="F4802" s="89">
        <f>IF(B4802="","",IF($A$8="NÃO DESONERADO",(IF(A4802="SINAPI",VLOOKUP(B4802,#REF!,4,0),IF(A4802="SUDECAP",VLOOKUP(B4802,#REF!,5,0),IF(A4802="SETOP",VLOOKUP(B4802,#REF!,4,0),IF(A4802="COTAÇÃO",VLOOKUP(B4802,'Mapa Cotações'!$A:$N,13,0)))))),(IF(A4802="SINAPI",VLOOKUP(B4802,#REF!,4,0),IF(A4802="SUDECAP",VLOOKUP(B4802,#REF!,5,0),IF(A4802="SETOP",VLOOKUP(B4802,#REF!,4,0),IF(A4802="COTAÇÃO",VLOOKUP(B4802,'Mapa Cotações'!$A:$N,13,0))))))))</f>
        <v>195.89</v>
      </c>
      <c r="G4802" s="89">
        <f>IF(D4802="","",E4802*F4802)</f>
        <v>35.913166666666669</v>
      </c>
    </row>
    <row r="4803" spans="1:7">
      <c r="A4803" s="87"/>
      <c r="B4803" s="87"/>
      <c r="C4803" s="278" t="str">
        <f>IF(B4803="","",IF($A$8="NÃO DESONERADO",(IF(A4803="SINAPI",VLOOKUP(B4803,#REF!,2,0),IF(A4803="SUDECAP",VLOOKUP(B4803,#REF!,3,0),IF(A4803="SETOP",VLOOKUP(B4803,#REF!,2,0),IF(A4803="COTAÇÃO",VLOOKUP(B4803,'Mapa Cotações'!$A:$N,2,0)))))),(IF(A4803="SINAPI",VLOOKUP(B4803,#REF!,2,0),IF(A4803="SUDECAP",VLOOKUP(B4803,#REF!,3,0),IF(A4803="SETOP",VLOOKUP(B4803,#REF!,2,0),IF(A4803="COTAÇÃO",VLOOKUP(B4803,'Mapa Cotações'!$A:$N,2,0))))))))</f>
        <v/>
      </c>
      <c r="D4803" s="89" t="str">
        <f>IF(B4803="","",IF($A$8="NÃO DESONERADO",(IF(A4803="SINAPI",VLOOKUP(B4803,#REF!,3,0),IF(A4803="SUDECAP",VLOOKUP(B4803,#REF!,4,0),IF(A4803="SETOP",VLOOKUP(B4803,#REF!,3,0),IF(A4803="COTAÇÃO",VLOOKUP(B4803,'Mapa Cotações'!$A:$N,3,0)))))),(IF(A4803="SINAPI",VLOOKUP(B4803,#REF!,3,0),IF(A4803="SUDECAP",VLOOKUP(B4803,#REF!,4,0),IF(A4803="SETOP",VLOOKUP(B4803,#REF!,3,0),IF(A4803="COTAÇÃO",VLOOKUP(B4803,'Mapa Cotações'!$A:$N,3,0))))))))</f>
        <v/>
      </c>
      <c r="E4803" s="88"/>
      <c r="F4803" s="89" t="str">
        <f>IF(B4803="","",IF($A$8="NÃO DESONERADO",(IF(A4803="SINAPI",VLOOKUP(B4803,#REF!,4,0),IF(A4803="SUDECAP",VLOOKUP(B4803,#REF!,5,0),IF(A4803="SETOP",VLOOKUP(B4803,#REF!,4,0),IF(A4803="COTAÇÃO",VLOOKUP(B4803,'Mapa Cotações'!$A:$N,13,0)))))),(IF(A4803="SINAPI",VLOOKUP(B4803,#REF!,4,0),IF(A4803="SUDECAP",VLOOKUP(B4803,#REF!,5,0),IF(A4803="SETOP",VLOOKUP(B4803,#REF!,4,0),IF(A4803="COTAÇÃO",VLOOKUP(B4803,'Mapa Cotações'!$A:$N,13,0))))))))</f>
        <v/>
      </c>
      <c r="G4803" s="89" t="str">
        <f>IF(D4803="","",E4803*F4803)</f>
        <v/>
      </c>
    </row>
    <row r="4804" spans="1:7">
      <c r="A4804" s="832" t="s">
        <v>1908</v>
      </c>
      <c r="B4804" s="833"/>
      <c r="C4804" s="833"/>
      <c r="D4804" s="833"/>
      <c r="E4804" s="833"/>
      <c r="F4804" s="834"/>
      <c r="G4804" s="90">
        <f>IF(F4802="","",(SUM(G4802:G4803)))</f>
        <v>35.913166666666669</v>
      </c>
    </row>
    <row r="4805" spans="1:7">
      <c r="A4805" s="91"/>
      <c r="B4805" s="92"/>
      <c r="C4805" s="161"/>
      <c r="D4805" s="93"/>
      <c r="E4805" s="94"/>
      <c r="F4805" s="95"/>
      <c r="G4805" s="96"/>
    </row>
    <row r="4806" spans="1:7">
      <c r="A4806" s="835" t="s">
        <v>1909</v>
      </c>
      <c r="B4806" s="836"/>
      <c r="C4806" s="836"/>
      <c r="D4806" s="836"/>
      <c r="E4806" s="836"/>
      <c r="F4806" s="836"/>
      <c r="G4806" s="837"/>
    </row>
    <row r="4807" spans="1:7">
      <c r="A4807" s="84" t="s">
        <v>1903</v>
      </c>
      <c r="B4807" s="84" t="s">
        <v>131</v>
      </c>
      <c r="C4807" s="160" t="s">
        <v>1904</v>
      </c>
      <c r="D4807" s="84" t="s">
        <v>167</v>
      </c>
      <c r="E4807" s="85" t="s">
        <v>1905</v>
      </c>
      <c r="F4807" s="86" t="s">
        <v>1906</v>
      </c>
      <c r="G4807" s="86" t="s">
        <v>1907</v>
      </c>
    </row>
    <row r="4808" spans="1:7" ht="24">
      <c r="A4808" s="87" t="s">
        <v>2</v>
      </c>
      <c r="B4808" s="87">
        <v>88243</v>
      </c>
      <c r="C4808" s="278" t="s">
        <v>2100</v>
      </c>
      <c r="D4808" s="89" t="s">
        <v>137</v>
      </c>
      <c r="E4808" s="88">
        <f>0.1069*3</f>
        <v>0.32069999999999999</v>
      </c>
      <c r="F4808" s="89">
        <v>20.98</v>
      </c>
      <c r="G4808" s="89">
        <f>IF(D4808="","",E4808*F4808)</f>
        <v>6.7282859999999998</v>
      </c>
    </row>
    <row r="4809" spans="1:7" ht="24">
      <c r="A4809" s="87" t="s">
        <v>2</v>
      </c>
      <c r="B4809" s="87">
        <v>100308</v>
      </c>
      <c r="C4809" s="278" t="s">
        <v>1936</v>
      </c>
      <c r="D4809" s="89" t="s">
        <v>137</v>
      </c>
      <c r="E4809" s="88">
        <f>0.1069*3</f>
        <v>0.32069999999999999</v>
      </c>
      <c r="F4809" s="89">
        <v>25.97</v>
      </c>
      <c r="G4809" s="89">
        <f>IF(D4809="","",E4809*F4809)</f>
        <v>8.3285789999999995</v>
      </c>
    </row>
    <row r="4810" spans="1:7">
      <c r="A4810" s="832" t="s">
        <v>1908</v>
      </c>
      <c r="B4810" s="833"/>
      <c r="C4810" s="833"/>
      <c r="D4810" s="833"/>
      <c r="E4810" s="833"/>
      <c r="F4810" s="834"/>
      <c r="G4810" s="90">
        <f>IF(F4808="","",(SUM(G4808:G4809)))</f>
        <v>15.056864999999998</v>
      </c>
    </row>
    <row r="4811" spans="1:7">
      <c r="A4811" s="91"/>
      <c r="B4811" s="92"/>
      <c r="C4811" s="162"/>
      <c r="D4811" s="92"/>
      <c r="E4811" s="97"/>
      <c r="F4811" s="98"/>
      <c r="G4811" s="96"/>
    </row>
    <row r="4812" spans="1:7">
      <c r="A4812" s="835" t="s">
        <v>1912</v>
      </c>
      <c r="B4812" s="836"/>
      <c r="C4812" s="836"/>
      <c r="D4812" s="836"/>
      <c r="E4812" s="836"/>
      <c r="F4812" s="836"/>
      <c r="G4812" s="837"/>
    </row>
    <row r="4813" spans="1:7">
      <c r="A4813" s="84" t="s">
        <v>1903</v>
      </c>
      <c r="B4813" s="84" t="s">
        <v>131</v>
      </c>
      <c r="C4813" s="160" t="s">
        <v>1904</v>
      </c>
      <c r="D4813" s="84" t="s">
        <v>167</v>
      </c>
      <c r="E4813" s="85" t="s">
        <v>1905</v>
      </c>
      <c r="F4813" s="86" t="s">
        <v>1906</v>
      </c>
      <c r="G4813" s="86" t="s">
        <v>1907</v>
      </c>
    </row>
    <row r="4814" spans="1:7" ht="24">
      <c r="A4814" s="87" t="s">
        <v>2</v>
      </c>
      <c r="B4814" s="87">
        <v>408</v>
      </c>
      <c r="C4814" s="278" t="s">
        <v>2174</v>
      </c>
      <c r="D4814" s="89" t="s">
        <v>167</v>
      </c>
      <c r="E4814" s="88">
        <v>0.4</v>
      </c>
      <c r="F4814" s="89">
        <v>0.99</v>
      </c>
      <c r="G4814" s="89">
        <f t="shared" ref="G4814:G4819" si="60">IF(D4814="","",E4814*F4814)</f>
        <v>0.39600000000000002</v>
      </c>
    </row>
    <row r="4815" spans="1:7" ht="36">
      <c r="A4815" s="87" t="s">
        <v>2</v>
      </c>
      <c r="B4815" s="87">
        <v>11929</v>
      </c>
      <c r="C4815" s="278" t="s">
        <v>2176</v>
      </c>
      <c r="D4815" s="89" t="s">
        <v>1932</v>
      </c>
      <c r="E4815" s="88">
        <v>0.08</v>
      </c>
      <c r="F4815" s="89">
        <v>18.72</v>
      </c>
      <c r="G4815" s="89">
        <f t="shared" si="60"/>
        <v>1.4976</v>
      </c>
    </row>
    <row r="4816" spans="1:7" ht="36">
      <c r="A4816" s="87" t="s">
        <v>3</v>
      </c>
      <c r="B4816" s="87" t="s">
        <v>2160</v>
      </c>
      <c r="C4816" s="278" t="s">
        <v>2161</v>
      </c>
      <c r="D4816" s="89" t="s">
        <v>180</v>
      </c>
      <c r="E4816" s="88">
        <v>0.4</v>
      </c>
      <c r="F4816" s="89">
        <v>14.76</v>
      </c>
      <c r="G4816" s="89">
        <f t="shared" si="60"/>
        <v>5.9039999999999999</v>
      </c>
    </row>
    <row r="4817" spans="1:11" ht="36">
      <c r="A4817" s="87" t="s">
        <v>3</v>
      </c>
      <c r="B4817" s="87" t="s">
        <v>2162</v>
      </c>
      <c r="C4817" s="278" t="s">
        <v>2163</v>
      </c>
      <c r="D4817" s="89" t="s">
        <v>2164</v>
      </c>
      <c r="E4817" s="88">
        <v>0.08</v>
      </c>
      <c r="F4817" s="88">
        <v>15.4635</v>
      </c>
      <c r="G4817" s="89">
        <f t="shared" si="60"/>
        <v>1.23708</v>
      </c>
    </row>
    <row r="4818" spans="1:11" ht="24">
      <c r="A4818" s="87" t="s">
        <v>3</v>
      </c>
      <c r="B4818" s="87" t="s">
        <v>2165</v>
      </c>
      <c r="C4818" s="278" t="s">
        <v>2166</v>
      </c>
      <c r="D4818" s="89" t="s">
        <v>167</v>
      </c>
      <c r="E4818" s="88">
        <v>0.08</v>
      </c>
      <c r="F4818" s="88">
        <v>0.13100000000000001</v>
      </c>
      <c r="G4818" s="89">
        <f t="shared" si="60"/>
        <v>1.0480000000000001E-2</v>
      </c>
    </row>
    <row r="4819" spans="1:11" ht="36">
      <c r="A4819" s="87" t="s">
        <v>3</v>
      </c>
      <c r="B4819" s="87" t="s">
        <v>2167</v>
      </c>
      <c r="C4819" s="278" t="s">
        <v>2168</v>
      </c>
      <c r="D4819" s="89" t="s">
        <v>167</v>
      </c>
      <c r="E4819" s="88">
        <v>0.08</v>
      </c>
      <c r="F4819" s="88">
        <v>0.1108</v>
      </c>
      <c r="G4819" s="89">
        <f t="shared" si="60"/>
        <v>8.8640000000000004E-3</v>
      </c>
    </row>
    <row r="4820" spans="1:11">
      <c r="A4820" s="493"/>
      <c r="B4820" s="494"/>
      <c r="C4820" s="495"/>
      <c r="D4820" s="496"/>
      <c r="E4820" s="497"/>
      <c r="F4820" s="498"/>
      <c r="G4820" s="89"/>
    </row>
    <row r="4821" spans="1:11">
      <c r="A4821" s="832" t="s">
        <v>1908</v>
      </c>
      <c r="B4821" s="833" t="s">
        <v>1908</v>
      </c>
      <c r="C4821" s="833"/>
      <c r="D4821" s="833"/>
      <c r="E4821" s="833"/>
      <c r="F4821" s="834"/>
      <c r="G4821" s="90">
        <f>SUM(G4814:G4819)</f>
        <v>9.0540240000000001</v>
      </c>
    </row>
    <row r="4822" spans="1:11" ht="13.5" thickBot="1">
      <c r="A4822" s="91"/>
      <c r="B4822" s="92"/>
      <c r="C4822" s="163"/>
      <c r="D4822" s="99"/>
      <c r="E4822" s="100"/>
      <c r="F4822" s="101"/>
      <c r="G4822" s="102"/>
    </row>
    <row r="4823" spans="1:11" ht="13.5" thickBot="1">
      <c r="A4823" s="838" t="s">
        <v>1259</v>
      </c>
      <c r="B4823" s="839"/>
      <c r="C4823" s="839"/>
      <c r="D4823" s="839"/>
      <c r="E4823" s="839"/>
      <c r="F4823" s="840"/>
      <c r="G4823" s="103">
        <f>SUM(G4804,G4810,G4821)</f>
        <v>60.024055666666669</v>
      </c>
    </row>
    <row r="4826" spans="1:11">
      <c r="A4826" s="237" t="s">
        <v>131</v>
      </c>
      <c r="B4826" s="190" t="s">
        <v>27</v>
      </c>
      <c r="C4826" s="841" t="s">
        <v>1281</v>
      </c>
      <c r="D4826" s="841"/>
      <c r="E4826" s="841"/>
      <c r="F4826" s="841"/>
      <c r="G4826" s="81" t="s">
        <v>127</v>
      </c>
      <c r="I4826" s="480" t="s">
        <v>1901</v>
      </c>
      <c r="J4826" s="80"/>
      <c r="K4826" s="80"/>
    </row>
    <row r="4827" spans="1:11" ht="69.75" customHeight="1">
      <c r="A4827" s="179" t="s">
        <v>1196</v>
      </c>
      <c r="B4827" s="82"/>
      <c r="C4827" s="816" t="s">
        <v>2179</v>
      </c>
      <c r="D4827" s="817"/>
      <c r="E4827" s="817"/>
      <c r="F4827" s="186">
        <f>G4846</f>
        <v>4998.08</v>
      </c>
      <c r="G4827" s="83" t="s">
        <v>167</v>
      </c>
      <c r="I4827" s="481"/>
      <c r="J4827" s="272"/>
      <c r="K4827" s="272"/>
    </row>
    <row r="4828" spans="1:11">
      <c r="A4828" s="818" t="s">
        <v>1902</v>
      </c>
      <c r="B4828" s="819"/>
      <c r="C4828" s="819"/>
      <c r="D4828" s="819"/>
      <c r="E4828" s="819"/>
      <c r="F4828" s="819"/>
      <c r="G4828" s="820"/>
    </row>
    <row r="4829" spans="1:11">
      <c r="A4829" s="84" t="s">
        <v>1903</v>
      </c>
      <c r="B4829" s="84" t="s">
        <v>131</v>
      </c>
      <c r="C4829" s="160" t="s">
        <v>1904</v>
      </c>
      <c r="D4829" s="84" t="s">
        <v>167</v>
      </c>
      <c r="E4829" s="85" t="s">
        <v>1905</v>
      </c>
      <c r="F4829" s="86" t="s">
        <v>1906</v>
      </c>
      <c r="G4829" s="86" t="s">
        <v>1907</v>
      </c>
    </row>
    <row r="4830" spans="1:11" ht="84" customHeight="1">
      <c r="A4830" s="87" t="s">
        <v>1917</v>
      </c>
      <c r="B4830" s="187" t="s">
        <v>2180</v>
      </c>
      <c r="C4830" s="475" t="str">
        <f>IF(B4830="","",IF($A$8="NÃO DESONERADO",(IF(A4830="SINAPI",VLOOKUP(B4830,#REF!,2,0),IF(A4830="SUDECAP",VLOOKUP(B4830,#REF!,3,0),IF(A4830="SETOP",VLOOKUP(B4830,#REF!,2,0),IF(A4830="COTAÇÃO",VLOOKUP(B4830,'Mapa Cotações'!$A:$N,2,0)))))),(IF(A4830="SINAPI",VLOOKUP(B4830,#REF!,2,0),IF(A4830="SUDECAP",VLOOKUP(B4830,#REF!,3,0),IF(A4830="SETOP",VLOOKUP(B4830,#REF!,2,0),IF(A4830="COTAÇÃO",VLOOKUP(B4830,'Mapa Cotações'!$A:$N,2,0))))))))</f>
        <v xml:space="preserve">GABINETE DE VENTILAÇÃO DOTADO DE MICRO VENTILADOR CENTRÍFUGO TIPO "SIROCCO", MODELO MGD 160; GAB-01, GAB-2 E GAB-03; VAZÃO DE AR INSUFLADO = 325 M3/H. PRESSÃO ESTÁTICA EXTERNA DISPONÍVEL = 12 MMCA. POTÊNCIA MOTOR DO VENTILADOR = 0,05 KW (220V/2Ø/60HZ). DIMENSÕES DA UNIDADE (C/L/H) = 420/420/385 MM. PESO DA UNIDADE = 9 KG. REF.: BERLINER-LUFT  OU EQUIVALENTE   </v>
      </c>
      <c r="D4830" s="89" t="str">
        <f>IF(B4830="","",IF($A$8="NÃO DESONERADO",(IF(A4830="SINAPI",VLOOKUP(B4830,#REF!,3,0),IF(A4830="SUDECAP",VLOOKUP(B4830,#REF!,4,0),IF(A4830="SETOP",VLOOKUP(B4830,#REF!,3,0),IF(A4830="COTAÇÃO",VLOOKUP(B4830,'Mapa Cotações'!$A:$N,3,0)))))),(IF(A4830="SINAPI",VLOOKUP(B4830,#REF!,3,0),IF(A4830="SUDECAP",VLOOKUP(B4830,#REF!,4,0),IF(A4830="SETOP",VLOOKUP(B4830,#REF!,3,0),IF(A4830="COTAÇÃO",VLOOKUP(B4830,'Mapa Cotações'!$A:$N,3,0))))))))</f>
        <v>UN</v>
      </c>
      <c r="E4830" s="88">
        <v>1</v>
      </c>
      <c r="F4830" s="89">
        <f>IF(B4830="","",IF($A$8="NÃO DESONERADO",(IF(A4830="SINAPI",VLOOKUP(B4830,#REF!,4,0),IF(A4830="SUDECAP",VLOOKUP(B4830,#REF!,5,0),IF(A4830="SETOP",VLOOKUP(B4830,#REF!,4,0),IF(A4830="COTAÇÃO",VLOOKUP(B4830,'Mapa Cotações'!$A:$N,13,0)))))),(IF(A4830="SINAPI",VLOOKUP(B4830,#REF!,4,0),IF(A4830="SUDECAP",VLOOKUP(B4830,#REF!,5,0),IF(A4830="SETOP",VLOOKUP(B4830,#REF!,4,0),IF(A4830="COTAÇÃO",VLOOKUP(B4830,'Mapa Cotações'!$A:$N,13,0))))))))</f>
        <v>4152.9799999999996</v>
      </c>
      <c r="G4830" s="89">
        <f>IF(D4830="","",E4830*F4830)</f>
        <v>4152.9799999999996</v>
      </c>
    </row>
    <row r="4831" spans="1:11">
      <c r="A4831" s="87"/>
      <c r="B4831" s="87"/>
      <c r="C4831" s="278" t="str">
        <f>IF(B4831="","",IF($A$8="NÃO DESONERADO",(IF(A4831="SINAPI",VLOOKUP(B4831,#REF!,2,0),IF(A4831="SUDECAP",VLOOKUP(B4831,#REF!,3,0),IF(A4831="SETOP",VLOOKUP(B4831,#REF!,2,0),IF(A4831="COTAÇÃO",VLOOKUP(B4831,'Mapa Cotações'!$A:$N,2,0)))))),(IF(A4831="SINAPI",VLOOKUP(B4831,#REF!,2,0),IF(A4831="SUDECAP",VLOOKUP(B4831,#REF!,3,0),IF(A4831="SETOP",VLOOKUP(B4831,#REF!,2,0),IF(A4831="COTAÇÃO",VLOOKUP(B4831,'Mapa Cotações'!$A:$N,2,0))))))))</f>
        <v/>
      </c>
      <c r="D4831" s="89" t="str">
        <f>IF(B4831="","",IF($A$8="NÃO DESONERADO",(IF(A4831="SINAPI",VLOOKUP(B4831,#REF!,3,0),IF(A4831="SUDECAP",VLOOKUP(B4831,#REF!,4,0),IF(A4831="SETOP",VLOOKUP(B4831,#REF!,3,0),IF(A4831="COTAÇÃO",VLOOKUP(B4831,'Mapa Cotações'!$A:$N,3,0)))))),(IF(A4831="SINAPI",VLOOKUP(B4831,#REF!,3,0),IF(A4831="SUDECAP",VLOOKUP(B4831,#REF!,4,0),IF(A4831="SETOP",VLOOKUP(B4831,#REF!,3,0),IF(A4831="COTAÇÃO",VLOOKUP(B4831,'Mapa Cotações'!$A:$N,3,0))))))))</f>
        <v/>
      </c>
      <c r="E4831" s="88"/>
      <c r="F4831" s="89" t="str">
        <f>IF(B4831="","",IF($A$8="NÃO DESONERADO",(IF(A4831="SINAPI",VLOOKUP(B4831,#REF!,4,0),IF(A4831="SUDECAP",VLOOKUP(B4831,#REF!,5,0),IF(A4831="SETOP",VLOOKUP(B4831,#REF!,4,0),IF(A4831="COTAÇÃO",VLOOKUP(B4831,'Mapa Cotações'!$A:$N,13,0)))))),(IF(A4831="SINAPI",VLOOKUP(B4831,#REF!,4,0),IF(A4831="SUDECAP",VLOOKUP(B4831,#REF!,5,0),IF(A4831="SETOP",VLOOKUP(B4831,#REF!,4,0),IF(A4831="COTAÇÃO",VLOOKUP(B4831,'Mapa Cotações'!$A:$N,13,0))))))))</f>
        <v/>
      </c>
      <c r="G4831" s="89" t="str">
        <f>IF(D4831="","",E4831*F4831)</f>
        <v/>
      </c>
    </row>
    <row r="4832" spans="1:11">
      <c r="A4832" s="832" t="s">
        <v>1908</v>
      </c>
      <c r="B4832" s="833"/>
      <c r="C4832" s="833"/>
      <c r="D4832" s="833"/>
      <c r="E4832" s="833"/>
      <c r="F4832" s="834"/>
      <c r="G4832" s="90">
        <f>IF(F4830="","",(SUM(G4830:G4831)))</f>
        <v>4152.9799999999996</v>
      </c>
    </row>
    <row r="4833" spans="1:7">
      <c r="A4833" s="91"/>
      <c r="B4833" s="92"/>
      <c r="C4833" s="161"/>
      <c r="D4833" s="93"/>
      <c r="E4833" s="94"/>
      <c r="F4833" s="95"/>
      <c r="G4833" s="96"/>
    </row>
    <row r="4834" spans="1:7">
      <c r="A4834" s="835" t="s">
        <v>1909</v>
      </c>
      <c r="B4834" s="836"/>
      <c r="C4834" s="836"/>
      <c r="D4834" s="836"/>
      <c r="E4834" s="836"/>
      <c r="F4834" s="836"/>
      <c r="G4834" s="837"/>
    </row>
    <row r="4835" spans="1:7">
      <c r="A4835" s="84" t="s">
        <v>1903</v>
      </c>
      <c r="B4835" s="84" t="s">
        <v>131</v>
      </c>
      <c r="C4835" s="160" t="s">
        <v>1904</v>
      </c>
      <c r="D4835" s="84" t="s">
        <v>167</v>
      </c>
      <c r="E4835" s="85" t="s">
        <v>1905</v>
      </c>
      <c r="F4835" s="86" t="s">
        <v>1906</v>
      </c>
      <c r="G4835" s="86" t="s">
        <v>1907</v>
      </c>
    </row>
    <row r="4836" spans="1:7" ht="24">
      <c r="A4836" s="87" t="s">
        <v>2</v>
      </c>
      <c r="B4836" s="87">
        <v>88243</v>
      </c>
      <c r="C4836" s="278" t="s">
        <v>2100</v>
      </c>
      <c r="D4836" s="89" t="s">
        <v>137</v>
      </c>
      <c r="E4836" s="88">
        <f>3*6</f>
        <v>18</v>
      </c>
      <c r="F4836" s="89">
        <v>20.98</v>
      </c>
      <c r="G4836" s="89">
        <f>IF(D4836="","",E4836*F4836)</f>
        <v>377.64</v>
      </c>
    </row>
    <row r="4837" spans="1:7" ht="24">
      <c r="A4837" s="87" t="s">
        <v>2</v>
      </c>
      <c r="B4837" s="87">
        <v>100308</v>
      </c>
      <c r="C4837" s="278" t="s">
        <v>1936</v>
      </c>
      <c r="D4837" s="89" t="s">
        <v>137</v>
      </c>
      <c r="E4837" s="88">
        <f>3*6</f>
        <v>18</v>
      </c>
      <c r="F4837" s="89">
        <v>25.97</v>
      </c>
      <c r="G4837" s="89">
        <f>IF(D4837="","",E4837*F4837)</f>
        <v>467.46</v>
      </c>
    </row>
    <row r="4838" spans="1:7">
      <c r="A4838" s="832" t="s">
        <v>1908</v>
      </c>
      <c r="B4838" s="833"/>
      <c r="C4838" s="833"/>
      <c r="D4838" s="833"/>
      <c r="E4838" s="833"/>
      <c r="F4838" s="834"/>
      <c r="G4838" s="90">
        <f>IF(F4836="","",(SUM(G4836:G4837)))</f>
        <v>845.09999999999991</v>
      </c>
    </row>
    <row r="4839" spans="1:7">
      <c r="A4839" s="91"/>
      <c r="B4839" s="92"/>
      <c r="C4839" s="162"/>
      <c r="D4839" s="92"/>
      <c r="E4839" s="97"/>
      <c r="F4839" s="98"/>
      <c r="G4839" s="96"/>
    </row>
    <row r="4840" spans="1:7">
      <c r="A4840" s="835" t="s">
        <v>1912</v>
      </c>
      <c r="B4840" s="836"/>
      <c r="C4840" s="836"/>
      <c r="D4840" s="836"/>
      <c r="E4840" s="836"/>
      <c r="F4840" s="836"/>
      <c r="G4840" s="837"/>
    </row>
    <row r="4841" spans="1:7">
      <c r="A4841" s="84" t="s">
        <v>1903</v>
      </c>
      <c r="B4841" s="84" t="s">
        <v>131</v>
      </c>
      <c r="C4841" s="160" t="s">
        <v>1904</v>
      </c>
      <c r="D4841" s="84" t="s">
        <v>167</v>
      </c>
      <c r="E4841" s="85" t="s">
        <v>1905</v>
      </c>
      <c r="F4841" s="86" t="s">
        <v>1906</v>
      </c>
      <c r="G4841" s="86" t="s">
        <v>1907</v>
      </c>
    </row>
    <row r="4842" spans="1:7">
      <c r="A4842" s="87"/>
      <c r="B4842" s="87"/>
      <c r="C4842" s="278" t="str">
        <f>IF(B4842="","",IF($A$8="NÃO DESONERADO",(IF(A4842="SINAPI",VLOOKUP(B4842,#REF!,2,0),IF(A4842="SUDECAP",VLOOKUP(B4842,#REF!,3,0),IF(A4842="SETOP",VLOOKUP(B4842,#REF!,2,0),IF(A4842="COTAÇÃO",VLOOKUP(B4842,'Mapa Cotações'!$A:$N,2,0)))))),(IF(A4842="SINAPI",VLOOKUP(B4842,#REF!,2,0),IF(A4842="SUDECAP",VLOOKUP(B4842,#REF!,3,0),IF(A4842="SETOP",VLOOKUP(B4842,#REF!,2,0),IF(A4842="COTAÇÃO",VLOOKUP(B4842,'Mapa Cotações'!$A:$N,2,0))))))))</f>
        <v/>
      </c>
      <c r="D4842" s="89" t="str">
        <f>IF(B4842="","",IF($A$8="NÃO DESONERADO",(IF(A4842="SINAPI",VLOOKUP(B4842,#REF!,3,0),IF(A4842="SUDECAP",VLOOKUP(B4842,#REF!,4,0),IF(A4842="SETOP",VLOOKUP(B4842,#REF!,3,0),IF(A4842="COTAÇÃO",VLOOKUP(B4842,'Mapa Cotações'!$A:$N,3,0)))))),(IF(A4842="SINAPI",VLOOKUP(B4842,#REF!,3,0),IF(A4842="SUDECAP",VLOOKUP(B4842,#REF!,4,0),IF(A4842="SETOP",VLOOKUP(B4842,#REF!,3,0),IF(A4842="COTAÇÃO",VLOOKUP(B4842,'Mapa Cotações'!$A:$N,3,0))))))))</f>
        <v/>
      </c>
      <c r="E4842" s="88"/>
      <c r="F4842" s="89" t="str">
        <f>IF(B4842="","",IF($A$8="NÃO DESONERADO",(IF(A4842="SINAPI",VLOOKUP(B4842,#REF!,4,0),IF(A4842="SUDECAP",VLOOKUP(B4842,#REF!,5,0),IF(A4842="SETOP",VLOOKUP(B4842,#REF!,4,0),IF(A4842="COTAÇÃO",VLOOKUP(B4842,'Mapa Cotações'!$A:$N,13,0)))))),(IF(A4842="SINAPI",VLOOKUP(B4842,#REF!,4,0),IF(A4842="SUDECAP",VLOOKUP(B4842,#REF!,5,0),IF(A4842="SETOP",VLOOKUP(B4842,#REF!,4,0),IF(A4842="COTAÇÃO",VLOOKUP(B4842,'Mapa Cotações'!$A:$N,13,0))))))))</f>
        <v/>
      </c>
      <c r="G4842" s="89" t="str">
        <f>IF(D4842="","",E4842*F4842)</f>
        <v/>
      </c>
    </row>
    <row r="4843" spans="1:7">
      <c r="A4843" s="87"/>
      <c r="B4843" s="87"/>
      <c r="C4843" s="278" t="str">
        <f>IF(B4843="","",IF($A$8="NÃO DESONERADO",(IF(A4843="SINAPI",VLOOKUP(B4843,#REF!,2,0),IF(A4843="SUDECAP",VLOOKUP(B4843,#REF!,3,0),IF(A4843="SETOP",VLOOKUP(B4843,#REF!,2,0),IF(A4843="COTAÇÃO",VLOOKUP(B4843,'Mapa Cotações'!$A:$N,2,0)))))),(IF(A4843="SINAPI",VLOOKUP(B4843,#REF!,2,0),IF(A4843="SUDECAP",VLOOKUP(B4843,#REF!,3,0),IF(A4843="SETOP",VLOOKUP(B4843,#REF!,2,0),IF(A4843="COTAÇÃO",VLOOKUP(B4843,'Mapa Cotações'!$A:$N,2,0))))))))</f>
        <v/>
      </c>
      <c r="D4843" s="89" t="str">
        <f>IF(B4843="","",IF($A$8="NÃO DESONERADO",(IF(A4843="SINAPI",VLOOKUP(B4843,#REF!,3,0),IF(A4843="SUDECAP",VLOOKUP(B4843,#REF!,4,0),IF(A4843="SETOP",VLOOKUP(B4843,#REF!,3,0),IF(A4843="COTAÇÃO",VLOOKUP(B4843,'Mapa Cotações'!$A:$N,3,0)))))),(IF(A4843="SINAPI",VLOOKUP(B4843,#REF!,3,0),IF(A4843="SUDECAP",VLOOKUP(B4843,#REF!,4,0),IF(A4843="SETOP",VLOOKUP(B4843,#REF!,3,0),IF(A4843="COTAÇÃO",VLOOKUP(B4843,'Mapa Cotações'!$A:$N,3,0))))))))</f>
        <v/>
      </c>
      <c r="E4843" s="88"/>
      <c r="F4843" s="89" t="str">
        <f>IF(B4843="","",IF($A$8="NÃO DESONERADO",(IF(A4843="SINAPI",VLOOKUP(B4843,#REF!,4,0),IF(A4843="SUDECAP",VLOOKUP(B4843,#REF!,5,0),IF(A4843="SETOP",VLOOKUP(B4843,#REF!,4,0),IF(A4843="COTAÇÃO",VLOOKUP(B4843,'Mapa Cotações'!$A:$N,13,0)))))),(IF(A4843="SINAPI",VLOOKUP(B4843,#REF!,4,0),IF(A4843="SUDECAP",VLOOKUP(B4843,#REF!,5,0),IF(A4843="SETOP",VLOOKUP(B4843,#REF!,4,0),IF(A4843="COTAÇÃO",VLOOKUP(B4843,'Mapa Cotações'!$A:$N,13,0))))))))</f>
        <v/>
      </c>
      <c r="G4843" s="89" t="str">
        <f>IF(D4843="","",E4843*F4843)</f>
        <v/>
      </c>
    </row>
    <row r="4844" spans="1:7">
      <c r="A4844" s="832" t="s">
        <v>1908</v>
      </c>
      <c r="B4844" s="833" t="s">
        <v>1908</v>
      </c>
      <c r="C4844" s="833"/>
      <c r="D4844" s="833"/>
      <c r="E4844" s="833"/>
      <c r="F4844" s="834"/>
      <c r="G4844" s="90" t="str">
        <f>IF(F4842="","",(SUM(G4842:G4843)))</f>
        <v/>
      </c>
    </row>
    <row r="4845" spans="1:7" ht="13.5" thickBot="1">
      <c r="A4845" s="91"/>
      <c r="B4845" s="92"/>
      <c r="C4845" s="163"/>
      <c r="D4845" s="99"/>
      <c r="E4845" s="100"/>
      <c r="F4845" s="101"/>
      <c r="G4845" s="102"/>
    </row>
    <row r="4846" spans="1:7" ht="13.5" thickBot="1">
      <c r="A4846" s="838" t="s">
        <v>1259</v>
      </c>
      <c r="B4846" s="839"/>
      <c r="C4846" s="839"/>
      <c r="D4846" s="839"/>
      <c r="E4846" s="839"/>
      <c r="F4846" s="840"/>
      <c r="G4846" s="103">
        <f>SUM(G4832,G4838,G4844)</f>
        <v>4998.08</v>
      </c>
    </row>
    <row r="4849" spans="1:11">
      <c r="A4849" s="237" t="s">
        <v>131</v>
      </c>
      <c r="B4849" s="190" t="s">
        <v>27</v>
      </c>
      <c r="C4849" s="841" t="s">
        <v>1281</v>
      </c>
      <c r="D4849" s="841"/>
      <c r="E4849" s="841"/>
      <c r="F4849" s="841"/>
      <c r="G4849" s="81" t="s">
        <v>127</v>
      </c>
      <c r="I4849" s="480" t="s">
        <v>1901</v>
      </c>
      <c r="J4849" s="80"/>
      <c r="K4849" s="80"/>
    </row>
    <row r="4850" spans="1:11" ht="49.5" customHeight="1">
      <c r="A4850" s="179" t="s">
        <v>1199</v>
      </c>
      <c r="B4850" s="82"/>
      <c r="C4850" s="816" t="s">
        <v>1200</v>
      </c>
      <c r="D4850" s="817"/>
      <c r="E4850" s="817"/>
      <c r="F4850" s="186">
        <f>G4869</f>
        <v>1318.69</v>
      </c>
      <c r="G4850" s="83" t="s">
        <v>167</v>
      </c>
      <c r="I4850" s="481"/>
      <c r="J4850" s="272"/>
      <c r="K4850" s="272"/>
    </row>
    <row r="4851" spans="1:11">
      <c r="A4851" s="818" t="s">
        <v>1902</v>
      </c>
      <c r="B4851" s="819"/>
      <c r="C4851" s="819"/>
      <c r="D4851" s="819"/>
      <c r="E4851" s="819"/>
      <c r="F4851" s="819"/>
      <c r="G4851" s="820"/>
    </row>
    <row r="4852" spans="1:11">
      <c r="A4852" s="84" t="s">
        <v>1903</v>
      </c>
      <c r="B4852" s="84" t="s">
        <v>131</v>
      </c>
      <c r="C4852" s="160" t="s">
        <v>1904</v>
      </c>
      <c r="D4852" s="84" t="s">
        <v>167</v>
      </c>
      <c r="E4852" s="85" t="s">
        <v>1905</v>
      </c>
      <c r="F4852" s="86" t="s">
        <v>1906</v>
      </c>
      <c r="G4852" s="86" t="s">
        <v>1907</v>
      </c>
    </row>
    <row r="4853" spans="1:11" ht="84" customHeight="1">
      <c r="A4853" s="87" t="s">
        <v>1917</v>
      </c>
      <c r="B4853" s="187" t="s">
        <v>2181</v>
      </c>
      <c r="C4853" s="475" t="str">
        <f>IF(B4853="","",IF($A$8="NÃO DESONERADO",(IF(A4853="SINAPI",VLOOKUP(B4853,#REF!,2,0),IF(A4853="SUDECAP",VLOOKUP(B4853,#REF!,3,0),IF(A4853="SETOP",VLOOKUP(B4853,#REF!,2,0),IF(A4853="COTAÇÃO",VLOOKUP(B4853,'Mapa Cotações'!$A:$N,2,0)))))),(IF(A4853="SINAPI",VLOOKUP(B4853,#REF!,2,0),IF(A4853="SUDECAP",VLOOKUP(B4853,#REF!,3,0),IF(A4853="SETOP",VLOOKUP(B4853,#REF!,2,0),IF(A4853="COTAÇÃO",VLOOKUP(B4853,'Mapa Cotações'!$A:$N,2,0))))))))</f>
        <v>CORTINA DE AR MODELO ACF09S5, COM CONTROLE REMOTO. CORT-01, CORT-02, CORT-04, CORT-05  E CORT-06. MOTOR ELÉTRICO = 190 W (220V/2Ø/60HZ), DIMENSÕES (A/L/P)= 210/900/190 MM. REF. SPRINGER CARRIER  OU EQUIVALENTE</v>
      </c>
      <c r="D4853" s="89" t="str">
        <f>IF(B4853="","",IF($A$8="NÃO DESONERADO",(IF(A4853="SINAPI",VLOOKUP(B4853,#REF!,3,0),IF(A4853="SUDECAP",VLOOKUP(B4853,#REF!,4,0),IF(A4853="SETOP",VLOOKUP(B4853,#REF!,3,0),IF(A4853="COTAÇÃO",VLOOKUP(B4853,'Mapa Cotações'!$A:$N,3,0)))))),(IF(A4853="SINAPI",VLOOKUP(B4853,#REF!,3,0),IF(A4853="SUDECAP",VLOOKUP(B4853,#REF!,4,0),IF(A4853="SETOP",VLOOKUP(B4853,#REF!,3,0),IF(A4853="COTAÇÃO",VLOOKUP(B4853,'Mapa Cotações'!$A:$N,3,0))))))))</f>
        <v>UN</v>
      </c>
      <c r="E4853" s="88">
        <v>1</v>
      </c>
      <c r="F4853" s="89">
        <f>IF(B4853="","",IF($A$8="NÃO DESONERADO",(IF(A4853="SINAPI",VLOOKUP(B4853,#REF!,4,0),IF(A4853="SUDECAP",VLOOKUP(B4853,#REF!,5,0),IF(A4853="SETOP",VLOOKUP(B4853,#REF!,4,0),IF(A4853="COTAÇÃO",VLOOKUP(B4853,'Mapa Cotações'!$A:$N,13,0)))))),(IF(A4853="SINAPI",VLOOKUP(B4853,#REF!,4,0),IF(A4853="SUDECAP",VLOOKUP(B4853,#REF!,5,0),IF(A4853="SETOP",VLOOKUP(B4853,#REF!,4,0),IF(A4853="COTAÇÃO",VLOOKUP(B4853,'Mapa Cotações'!$A:$N,13,0))))))))</f>
        <v>1130.8900000000001</v>
      </c>
      <c r="G4853" s="89">
        <f>IF(D4853="","",E4853*F4853)</f>
        <v>1130.8900000000001</v>
      </c>
    </row>
    <row r="4854" spans="1:11">
      <c r="A4854" s="87"/>
      <c r="B4854" s="87"/>
      <c r="C4854" s="278" t="str">
        <f>IF(B4854="","",IF($A$8="NÃO DESONERADO",(IF(A4854="SINAPI",VLOOKUP(B4854,#REF!,2,0),IF(A4854="SUDECAP",VLOOKUP(B4854,#REF!,3,0),IF(A4854="SETOP",VLOOKUP(B4854,#REF!,2,0),IF(A4854="COTAÇÃO",VLOOKUP(B4854,'Mapa Cotações'!$A:$N,2,0)))))),(IF(A4854="SINAPI",VLOOKUP(B4854,#REF!,2,0),IF(A4854="SUDECAP",VLOOKUP(B4854,#REF!,3,0),IF(A4854="SETOP",VLOOKUP(B4854,#REF!,2,0),IF(A4854="COTAÇÃO",VLOOKUP(B4854,'Mapa Cotações'!$A:$N,2,0))))))))</f>
        <v/>
      </c>
      <c r="D4854" s="89" t="str">
        <f>IF(B4854="","",IF($A$8="NÃO DESONERADO",(IF(A4854="SINAPI",VLOOKUP(B4854,#REF!,3,0),IF(A4854="SUDECAP",VLOOKUP(B4854,#REF!,4,0),IF(A4854="SETOP",VLOOKUP(B4854,#REF!,3,0),IF(A4854="COTAÇÃO",VLOOKUP(B4854,'Mapa Cotações'!$A:$N,3,0)))))),(IF(A4854="SINAPI",VLOOKUP(B4854,#REF!,3,0),IF(A4854="SUDECAP",VLOOKUP(B4854,#REF!,4,0),IF(A4854="SETOP",VLOOKUP(B4854,#REF!,3,0),IF(A4854="COTAÇÃO",VLOOKUP(B4854,'Mapa Cotações'!$A:$N,3,0))))))))</f>
        <v/>
      </c>
      <c r="E4854" s="88"/>
      <c r="F4854" s="89" t="str">
        <f>IF(B4854="","",IF($A$8="NÃO DESONERADO",(IF(A4854="SINAPI",VLOOKUP(B4854,#REF!,4,0),IF(A4854="SUDECAP",VLOOKUP(B4854,#REF!,5,0),IF(A4854="SETOP",VLOOKUP(B4854,#REF!,4,0),IF(A4854="COTAÇÃO",VLOOKUP(B4854,'Mapa Cotações'!$A:$N,13,0)))))),(IF(A4854="SINAPI",VLOOKUP(B4854,#REF!,4,0),IF(A4854="SUDECAP",VLOOKUP(B4854,#REF!,5,0),IF(A4854="SETOP",VLOOKUP(B4854,#REF!,4,0),IF(A4854="COTAÇÃO",VLOOKUP(B4854,'Mapa Cotações'!$A:$N,13,0))))))))</f>
        <v/>
      </c>
      <c r="G4854" s="89" t="str">
        <f>IF(D4854="","",E4854*F4854)</f>
        <v/>
      </c>
    </row>
    <row r="4855" spans="1:11">
      <c r="A4855" s="832" t="s">
        <v>1908</v>
      </c>
      <c r="B4855" s="833"/>
      <c r="C4855" s="833"/>
      <c r="D4855" s="833"/>
      <c r="E4855" s="833"/>
      <c r="F4855" s="834"/>
      <c r="G4855" s="90">
        <f>IF(F4853="","",(SUM(G4853:G4854)))</f>
        <v>1130.8900000000001</v>
      </c>
    </row>
    <row r="4856" spans="1:11">
      <c r="A4856" s="91"/>
      <c r="B4856" s="92"/>
      <c r="C4856" s="161"/>
      <c r="D4856" s="93"/>
      <c r="E4856" s="94"/>
      <c r="F4856" s="95"/>
      <c r="G4856" s="96"/>
    </row>
    <row r="4857" spans="1:11">
      <c r="A4857" s="835" t="s">
        <v>1909</v>
      </c>
      <c r="B4857" s="836"/>
      <c r="C4857" s="836"/>
      <c r="D4857" s="836"/>
      <c r="E4857" s="836"/>
      <c r="F4857" s="836"/>
      <c r="G4857" s="837"/>
    </row>
    <row r="4858" spans="1:11">
      <c r="A4858" s="84" t="s">
        <v>1903</v>
      </c>
      <c r="B4858" s="84" t="s">
        <v>131</v>
      </c>
      <c r="C4858" s="160" t="s">
        <v>1904</v>
      </c>
      <c r="D4858" s="84" t="s">
        <v>167</v>
      </c>
      <c r="E4858" s="85" t="s">
        <v>1905</v>
      </c>
      <c r="F4858" s="86" t="s">
        <v>1906</v>
      </c>
      <c r="G4858" s="86" t="s">
        <v>1907</v>
      </c>
    </row>
    <row r="4859" spans="1:11" ht="24">
      <c r="A4859" s="87" t="s">
        <v>2</v>
      </c>
      <c r="B4859" s="87">
        <v>88243</v>
      </c>
      <c r="C4859" s="278" t="s">
        <v>2100</v>
      </c>
      <c r="D4859" s="89" t="s">
        <v>137</v>
      </c>
      <c r="E4859" s="88">
        <v>4</v>
      </c>
      <c r="F4859" s="89">
        <v>20.98</v>
      </c>
      <c r="G4859" s="89">
        <f>IF(D4859="","",E4859*F4859)</f>
        <v>83.92</v>
      </c>
    </row>
    <row r="4860" spans="1:11" ht="24">
      <c r="A4860" s="87" t="s">
        <v>2</v>
      </c>
      <c r="B4860" s="87">
        <v>100308</v>
      </c>
      <c r="C4860" s="278" t="s">
        <v>1936</v>
      </c>
      <c r="D4860" s="89" t="s">
        <v>137</v>
      </c>
      <c r="E4860" s="88">
        <v>4</v>
      </c>
      <c r="F4860" s="89">
        <v>25.97</v>
      </c>
      <c r="G4860" s="89">
        <f>IF(D4860="","",E4860*F4860)</f>
        <v>103.88</v>
      </c>
    </row>
    <row r="4861" spans="1:11">
      <c r="A4861" s="832" t="s">
        <v>1908</v>
      </c>
      <c r="B4861" s="833"/>
      <c r="C4861" s="833"/>
      <c r="D4861" s="833"/>
      <c r="E4861" s="833"/>
      <c r="F4861" s="834"/>
      <c r="G4861" s="90">
        <f>IF(F4859="","",(SUM(G4859:G4860)))</f>
        <v>187.8</v>
      </c>
    </row>
    <row r="4862" spans="1:11">
      <c r="A4862" s="91"/>
      <c r="B4862" s="92"/>
      <c r="C4862" s="162"/>
      <c r="D4862" s="92"/>
      <c r="E4862" s="97"/>
      <c r="F4862" s="98"/>
      <c r="G4862" s="96"/>
    </row>
    <row r="4863" spans="1:11">
      <c r="A4863" s="835" t="s">
        <v>1912</v>
      </c>
      <c r="B4863" s="836"/>
      <c r="C4863" s="836"/>
      <c r="D4863" s="836"/>
      <c r="E4863" s="836"/>
      <c r="F4863" s="836"/>
      <c r="G4863" s="837"/>
    </row>
    <row r="4864" spans="1:11">
      <c r="A4864" s="84" t="s">
        <v>1903</v>
      </c>
      <c r="B4864" s="84" t="s">
        <v>131</v>
      </c>
      <c r="C4864" s="160" t="s">
        <v>1904</v>
      </c>
      <c r="D4864" s="84" t="s">
        <v>167</v>
      </c>
      <c r="E4864" s="85" t="s">
        <v>1905</v>
      </c>
      <c r="F4864" s="86" t="s">
        <v>1906</v>
      </c>
      <c r="G4864" s="86" t="s">
        <v>1907</v>
      </c>
    </row>
    <row r="4865" spans="1:11">
      <c r="A4865" s="87"/>
      <c r="B4865" s="87"/>
      <c r="C4865" s="278" t="str">
        <f>IF(B4865="","",IF($A$8="NÃO DESONERADO",(IF(A4865="SINAPI",VLOOKUP(B4865,#REF!,2,0),IF(A4865="SUDECAP",VLOOKUP(B4865,#REF!,3,0),IF(A4865="SETOP",VLOOKUP(B4865,#REF!,2,0),IF(A4865="COTAÇÃO",VLOOKUP(B4865,'Mapa Cotações'!$A:$N,2,0)))))),(IF(A4865="SINAPI",VLOOKUP(B4865,#REF!,2,0),IF(A4865="SUDECAP",VLOOKUP(B4865,#REF!,3,0),IF(A4865="SETOP",VLOOKUP(B4865,#REF!,2,0),IF(A4865="COTAÇÃO",VLOOKUP(B4865,'Mapa Cotações'!$A:$N,2,0))))))))</f>
        <v/>
      </c>
      <c r="D4865" s="89" t="str">
        <f>IF(B4865="","",IF($A$8="NÃO DESONERADO",(IF(A4865="SINAPI",VLOOKUP(B4865,#REF!,3,0),IF(A4865="SUDECAP",VLOOKUP(B4865,#REF!,4,0),IF(A4865="SETOP",VLOOKUP(B4865,#REF!,3,0),IF(A4865="COTAÇÃO",VLOOKUP(B4865,'Mapa Cotações'!$A:$N,3,0)))))),(IF(A4865="SINAPI",VLOOKUP(B4865,#REF!,3,0),IF(A4865="SUDECAP",VLOOKUP(B4865,#REF!,4,0),IF(A4865="SETOP",VLOOKUP(B4865,#REF!,3,0),IF(A4865="COTAÇÃO",VLOOKUP(B4865,'Mapa Cotações'!$A:$N,3,0))))))))</f>
        <v/>
      </c>
      <c r="E4865" s="88"/>
      <c r="F4865" s="89" t="str">
        <f>IF(B4865="","",IF($A$8="NÃO DESONERADO",(IF(A4865="SINAPI",VLOOKUP(B4865,#REF!,4,0),IF(A4865="SUDECAP",VLOOKUP(B4865,#REF!,5,0),IF(A4865="SETOP",VLOOKUP(B4865,#REF!,4,0),IF(A4865="COTAÇÃO",VLOOKUP(B4865,'Mapa Cotações'!$A:$N,13,0)))))),(IF(A4865="SINAPI",VLOOKUP(B4865,#REF!,4,0),IF(A4865="SUDECAP",VLOOKUP(B4865,#REF!,5,0),IF(A4865="SETOP",VLOOKUP(B4865,#REF!,4,0),IF(A4865="COTAÇÃO",VLOOKUP(B4865,'Mapa Cotações'!$A:$N,13,0))))))))</f>
        <v/>
      </c>
      <c r="G4865" s="89" t="str">
        <f>IF(D4865="","",E4865*F4865)</f>
        <v/>
      </c>
    </row>
    <row r="4866" spans="1:11">
      <c r="A4866" s="87"/>
      <c r="B4866" s="87"/>
      <c r="C4866" s="278" t="str">
        <f>IF(B4866="","",IF($A$8="NÃO DESONERADO",(IF(A4866="SINAPI",VLOOKUP(B4866,#REF!,2,0),IF(A4866="SUDECAP",VLOOKUP(B4866,#REF!,3,0),IF(A4866="SETOP",VLOOKUP(B4866,#REF!,2,0),IF(A4866="COTAÇÃO",VLOOKUP(B4866,'Mapa Cotações'!$A:$N,2,0)))))),(IF(A4866="SINAPI",VLOOKUP(B4866,#REF!,2,0),IF(A4866="SUDECAP",VLOOKUP(B4866,#REF!,3,0),IF(A4866="SETOP",VLOOKUP(B4866,#REF!,2,0),IF(A4866="COTAÇÃO",VLOOKUP(B4866,'Mapa Cotações'!$A:$N,2,0))))))))</f>
        <v/>
      </c>
      <c r="D4866" s="89" t="str">
        <f>IF(B4866="","",IF($A$8="NÃO DESONERADO",(IF(A4866="SINAPI",VLOOKUP(B4866,#REF!,3,0),IF(A4866="SUDECAP",VLOOKUP(B4866,#REF!,4,0),IF(A4866="SETOP",VLOOKUP(B4866,#REF!,3,0),IF(A4866="COTAÇÃO",VLOOKUP(B4866,'Mapa Cotações'!$A:$N,3,0)))))),(IF(A4866="SINAPI",VLOOKUP(B4866,#REF!,3,0),IF(A4866="SUDECAP",VLOOKUP(B4866,#REF!,4,0),IF(A4866="SETOP",VLOOKUP(B4866,#REF!,3,0),IF(A4866="COTAÇÃO",VLOOKUP(B4866,'Mapa Cotações'!$A:$N,3,0))))))))</f>
        <v/>
      </c>
      <c r="E4866" s="88"/>
      <c r="F4866" s="89" t="str">
        <f>IF(B4866="","",IF($A$8="NÃO DESONERADO",(IF(A4866="SINAPI",VLOOKUP(B4866,#REF!,4,0),IF(A4866="SUDECAP",VLOOKUP(B4866,#REF!,5,0),IF(A4866="SETOP",VLOOKUP(B4866,#REF!,4,0),IF(A4866="COTAÇÃO",VLOOKUP(B4866,'Mapa Cotações'!$A:$N,13,0)))))),(IF(A4866="SINAPI",VLOOKUP(B4866,#REF!,4,0),IF(A4866="SUDECAP",VLOOKUP(B4866,#REF!,5,0),IF(A4866="SETOP",VLOOKUP(B4866,#REF!,4,0),IF(A4866="COTAÇÃO",VLOOKUP(B4866,'Mapa Cotações'!$A:$N,13,0))))))))</f>
        <v/>
      </c>
      <c r="G4866" s="89" t="str">
        <f>IF(D4866="","",E4866*F4866)</f>
        <v/>
      </c>
    </row>
    <row r="4867" spans="1:11">
      <c r="A4867" s="832" t="s">
        <v>1908</v>
      </c>
      <c r="B4867" s="833" t="s">
        <v>1908</v>
      </c>
      <c r="C4867" s="833"/>
      <c r="D4867" s="833"/>
      <c r="E4867" s="833"/>
      <c r="F4867" s="834"/>
      <c r="G4867" s="90" t="str">
        <f>IF(F4865="","",(SUM(G4865:G4866)))</f>
        <v/>
      </c>
    </row>
    <row r="4868" spans="1:11" ht="13.5" thickBot="1">
      <c r="A4868" s="91"/>
      <c r="B4868" s="92"/>
      <c r="C4868" s="163"/>
      <c r="D4868" s="99"/>
      <c r="E4868" s="100"/>
      <c r="F4868" s="101"/>
      <c r="G4868" s="102"/>
    </row>
    <row r="4869" spans="1:11" ht="13.5" thickBot="1">
      <c r="A4869" s="838" t="s">
        <v>1259</v>
      </c>
      <c r="B4869" s="839"/>
      <c r="C4869" s="839"/>
      <c r="D4869" s="839"/>
      <c r="E4869" s="839"/>
      <c r="F4869" s="840"/>
      <c r="G4869" s="103">
        <f>SUM(G4855,G4861,G4867)</f>
        <v>1318.69</v>
      </c>
    </row>
    <row r="4870" spans="1:11" ht="13.5" customHeight="1"/>
    <row r="4872" spans="1:11">
      <c r="A4872" s="237" t="s">
        <v>131</v>
      </c>
      <c r="B4872" s="190" t="s">
        <v>27</v>
      </c>
      <c r="C4872" s="841" t="s">
        <v>1281</v>
      </c>
      <c r="D4872" s="841"/>
      <c r="E4872" s="841"/>
      <c r="F4872" s="841"/>
      <c r="G4872" s="81" t="s">
        <v>127</v>
      </c>
      <c r="I4872" s="480" t="s">
        <v>1901</v>
      </c>
      <c r="J4872" s="80"/>
      <c r="K4872" s="80"/>
    </row>
    <row r="4873" spans="1:11" ht="50.1" customHeight="1">
      <c r="A4873" s="179" t="s">
        <v>772</v>
      </c>
      <c r="B4873" s="82"/>
      <c r="C4873" s="830" t="s">
        <v>773</v>
      </c>
      <c r="D4873" s="831"/>
      <c r="E4873" s="831"/>
      <c r="F4873" s="186">
        <f>G4892</f>
        <v>185.08350000000002</v>
      </c>
      <c r="G4873" s="83" t="s">
        <v>150</v>
      </c>
      <c r="I4873" s="481"/>
      <c r="J4873" s="272"/>
      <c r="K4873" s="272"/>
    </row>
    <row r="4874" spans="1:11">
      <c r="A4874" s="818" t="s">
        <v>1902</v>
      </c>
      <c r="B4874" s="819"/>
      <c r="C4874" s="819"/>
      <c r="D4874" s="819"/>
      <c r="E4874" s="819"/>
      <c r="F4874" s="819"/>
      <c r="G4874" s="820"/>
    </row>
    <row r="4875" spans="1:11">
      <c r="A4875" s="84" t="s">
        <v>1903</v>
      </c>
      <c r="B4875" s="84" t="s">
        <v>131</v>
      </c>
      <c r="C4875" s="160" t="s">
        <v>1904</v>
      </c>
      <c r="D4875" s="84" t="s">
        <v>167</v>
      </c>
      <c r="E4875" s="85" t="s">
        <v>1905</v>
      </c>
      <c r="F4875" s="86" t="s">
        <v>1906</v>
      </c>
      <c r="G4875" s="86" t="s">
        <v>1907</v>
      </c>
    </row>
    <row r="4876" spans="1:11">
      <c r="A4876" s="87"/>
      <c r="B4876" s="87"/>
      <c r="C4876" s="278" t="str">
        <f>IF(B4876="","",IF($A$8="NÃO DESONERADO",(IF(A4876="SINAPI",VLOOKUP(B4876,#REF!,2,0),IF(A4876="SUDECAP",VLOOKUP(B4876,#REF!,3,0),IF(A4876="SETOP",VLOOKUP(B4876,#REF!,2,0),IF(A4876="COTAÇÃO",VLOOKUP(B4876,'Mapa Cotações'!$A:$N,2,0)))))),(IF(A4876="SINAPI",VLOOKUP(B4876,#REF!,2,0),IF(A4876="SUDECAP",VLOOKUP(B4876,#REF!,3,0),IF(A4876="SETOP",VLOOKUP(B4876,#REF!,2,0),IF(A4876="COTAÇÃO",VLOOKUP(B4876,'Mapa Cotações'!$A:$N,2,0))))))))</f>
        <v/>
      </c>
      <c r="D4876" s="89" t="str">
        <f>IF(B4876="","",IF($A$8="NÃO DESONERADO",(IF(A4876="SINAPI",VLOOKUP(B4876,#REF!,3,0),IF(A4876="SUDECAP",VLOOKUP(B4876,#REF!,4,0),IF(A4876="SETOP",VLOOKUP(B4876,#REF!,3,0),IF(A4876="COTAÇÃO",VLOOKUP(B4876,'Mapa Cotações'!$A:$N,3,0)))))),(IF(A4876="SINAPI",VLOOKUP(B4876,#REF!,3,0),IF(A4876="SUDECAP",VLOOKUP(B4876,#REF!,4,0),IF(A4876="SETOP",VLOOKUP(B4876,#REF!,3,0),IF(A4876="COTAÇÃO",VLOOKUP(B4876,'Mapa Cotações'!$A:$N,3,0))))))))</f>
        <v/>
      </c>
      <c r="E4876" s="88"/>
      <c r="F4876" s="89" t="str">
        <f>IF(B4876="","",IF($A$8="NÃO DESONERADO",(IF(A4876="SINAPI",VLOOKUP(B4876,#REF!,4,0),IF(A4876="SUDECAP",VLOOKUP(B4876,#REF!,5,0),IF(A4876="SETOP",VLOOKUP(B4876,#REF!,4,0),IF(A4876="COTAÇÃO",VLOOKUP(B4876,'Mapa Cotações'!$A:$N,13,0)))))),(IF(A4876="SINAPI",VLOOKUP(B4876,#REF!,4,0),IF(A4876="SUDECAP",VLOOKUP(B4876,#REF!,5,0),IF(A4876="SETOP",VLOOKUP(B4876,#REF!,4,0),IF(A4876="COTAÇÃO",VLOOKUP(B4876,'Mapa Cotações'!$A:$N,13,0))))))))</f>
        <v/>
      </c>
      <c r="G4876" s="89" t="str">
        <f>IF(D4876="","",E4876*F4876)</f>
        <v/>
      </c>
    </row>
    <row r="4877" spans="1:11">
      <c r="A4877" s="87"/>
      <c r="B4877" s="87"/>
      <c r="C4877" s="278" t="str">
        <f>IF(B4877="","",IF($A$8="NÃO DESONERADO",(IF(A4877="SINAPI",VLOOKUP(B4877,#REF!,2,0),IF(A4877="SUDECAP",VLOOKUP(B4877,#REF!,3,0),IF(A4877="SETOP",VLOOKUP(B4877,#REF!,2,0),IF(A4877="COTAÇÃO",VLOOKUP(B4877,'Mapa Cotações'!$A:$N,2,0)))))),(IF(A4877="SINAPI",VLOOKUP(B4877,#REF!,2,0),IF(A4877="SUDECAP",VLOOKUP(B4877,#REF!,3,0),IF(A4877="SETOP",VLOOKUP(B4877,#REF!,2,0),IF(A4877="COTAÇÃO",VLOOKUP(B4877,'Mapa Cotações'!$A:$N,2,0))))))))</f>
        <v/>
      </c>
      <c r="D4877" s="89" t="str">
        <f>IF(B4877="","",IF($A$8="NÃO DESONERADO",(IF(A4877="SINAPI",VLOOKUP(B4877,#REF!,3,0),IF(A4877="SUDECAP",VLOOKUP(B4877,#REF!,4,0),IF(A4877="SETOP",VLOOKUP(B4877,#REF!,3,0),IF(A4877="COTAÇÃO",VLOOKUP(B4877,'Mapa Cotações'!$A:$N,3,0)))))),(IF(A4877="SINAPI",VLOOKUP(B4877,#REF!,3,0),IF(A4877="SUDECAP",VLOOKUP(B4877,#REF!,4,0),IF(A4877="SETOP",VLOOKUP(B4877,#REF!,3,0),IF(A4877="COTAÇÃO",VLOOKUP(B4877,'Mapa Cotações'!$A:$N,3,0))))))))</f>
        <v/>
      </c>
      <c r="E4877" s="88"/>
      <c r="F4877" s="89" t="str">
        <f>IF(B4877="","",IF($A$8="NÃO DESONERADO",(IF(A4877="SINAPI",VLOOKUP(B4877,#REF!,4,0),IF(A4877="SUDECAP",VLOOKUP(B4877,#REF!,5,0),IF(A4877="SETOP",VLOOKUP(B4877,#REF!,4,0),IF(A4877="COTAÇÃO",VLOOKUP(B4877,'Mapa Cotações'!$A:$N,13,0)))))),(IF(A4877="SINAPI",VLOOKUP(B4877,#REF!,4,0),IF(A4877="SUDECAP",VLOOKUP(B4877,#REF!,5,0),IF(A4877="SETOP",VLOOKUP(B4877,#REF!,4,0),IF(A4877="COTAÇÃO",VLOOKUP(B4877,'Mapa Cotações'!$A:$N,13,0))))))))</f>
        <v/>
      </c>
      <c r="G4877" s="89" t="str">
        <f>IF(D4877="","",E4877*F4877)</f>
        <v/>
      </c>
    </row>
    <row r="4878" spans="1:11">
      <c r="A4878" s="832" t="s">
        <v>1908</v>
      </c>
      <c r="B4878" s="833"/>
      <c r="C4878" s="833"/>
      <c r="D4878" s="833"/>
      <c r="E4878" s="833"/>
      <c r="F4878" s="834"/>
      <c r="G4878" s="90" t="str">
        <f>IF(F4876="","",(SUM(G4876:G4877)))</f>
        <v/>
      </c>
    </row>
    <row r="4879" spans="1:11">
      <c r="A4879" s="91"/>
      <c r="B4879" s="92"/>
      <c r="C4879" s="161"/>
      <c r="D4879" s="93"/>
      <c r="E4879" s="94"/>
      <c r="F4879" s="95"/>
      <c r="G4879" s="96"/>
    </row>
    <row r="4880" spans="1:11">
      <c r="A4880" s="835" t="s">
        <v>1909</v>
      </c>
      <c r="B4880" s="836"/>
      <c r="C4880" s="836"/>
      <c r="D4880" s="836"/>
      <c r="E4880" s="836"/>
      <c r="F4880" s="836"/>
      <c r="G4880" s="837"/>
    </row>
    <row r="4881" spans="1:11">
      <c r="A4881" s="84" t="s">
        <v>1903</v>
      </c>
      <c r="B4881" s="84" t="s">
        <v>131</v>
      </c>
      <c r="C4881" s="160" t="s">
        <v>1904</v>
      </c>
      <c r="D4881" s="84" t="s">
        <v>167</v>
      </c>
      <c r="E4881" s="85" t="s">
        <v>1905</v>
      </c>
      <c r="F4881" s="86" t="s">
        <v>1906</v>
      </c>
      <c r="G4881" s="86" t="s">
        <v>1907</v>
      </c>
    </row>
    <row r="4882" spans="1:11">
      <c r="A4882" s="87"/>
      <c r="B4882" s="87"/>
      <c r="C4882" s="278" t="str">
        <f>IF(B4882="","",IF($A$8="NÃO DESONERADO",(IF(A4882="SINAPI",VLOOKUP(B4882,#REF!,2,0),IF(A4882="SUDECAP",VLOOKUP(B4882,#REF!,3,0),IF(A4882="SETOP",VLOOKUP(B4882,#REF!,2,0),IF(A4882="COTAÇÃO",VLOOKUP(B4882,'Mapa Cotações'!$A:$N,2,0)))))),(IF(A4882="SINAPI",VLOOKUP(B4882,#REF!,2,0),IF(A4882="SUDECAP",VLOOKUP(B4882,#REF!,3,0),IF(A4882="SETOP",VLOOKUP(B4882,#REF!,2,0),IF(A4882="COTAÇÃO",VLOOKUP(B4882,'Mapa Cotações'!$A:$N,2,0))))))))</f>
        <v/>
      </c>
      <c r="D4882" s="89" t="str">
        <f>IF(B4882="","",IF($A$8="NÃO DESONERADO",(IF(A4882="SINAPI",VLOOKUP(B4882,#REF!,3,0),IF(A4882="SUDECAP",VLOOKUP(B4882,#REF!,4,0),IF(A4882="SETOP",VLOOKUP(B4882,#REF!,3,0),IF(A4882="COTAÇÃO",VLOOKUP(B4882,'Mapa Cotações'!$A:$N,3,0)))))),(IF(A4882="SINAPI",VLOOKUP(B4882,#REF!,3,0),IF(A4882="SUDECAP",VLOOKUP(B4882,#REF!,4,0),IF(A4882="SETOP",VLOOKUP(B4882,#REF!,3,0),IF(A4882="COTAÇÃO",VLOOKUP(B4882,'Mapa Cotações'!$A:$N,3,0))))))))</f>
        <v/>
      </c>
      <c r="E4882" s="88"/>
      <c r="F4882" s="89" t="str">
        <f>IF(B4882="","",IF($A$8="NÃO DESONERADO",(IF(A4882="SINAPI",VLOOKUP(B4882,#REF!,4,0),IF(A4882="SUDECAP",VLOOKUP(B4882,#REF!,5,0),IF(A4882="SETOP",VLOOKUP(B4882,#REF!,4,0),IF(A4882="COTAÇÃO",VLOOKUP(B4882,'Mapa Cotações'!$A:$N,13,0)))))),(IF(A4882="SINAPI",VLOOKUP(B4882,#REF!,4,0),IF(A4882="SUDECAP",VLOOKUP(B4882,#REF!,5,0),IF(A4882="SETOP",VLOOKUP(B4882,#REF!,4,0),IF(A4882="COTAÇÃO",VLOOKUP(B4882,'Mapa Cotações'!$A:$N,13,0))))))))</f>
        <v/>
      </c>
      <c r="G4882" s="89" t="str">
        <f>IF(D4882="","",E4882*F4882)</f>
        <v/>
      </c>
    </row>
    <row r="4883" spans="1:11">
      <c r="A4883" s="87"/>
      <c r="B4883" s="87"/>
      <c r="C4883" s="278" t="str">
        <f>IF(B4883="","",IF($A$8="NÃO DESONERADO",(IF(A4883="SINAPI",VLOOKUP(B4883,#REF!,2,0),IF(A4883="SUDECAP",VLOOKUP(B4883,#REF!,3,0),IF(A4883="SETOP",VLOOKUP(B4883,#REF!,2,0),IF(A4883="COTAÇÃO",VLOOKUP(B4883,'Mapa Cotações'!$A:$N,2,0)))))),(IF(A4883="SINAPI",VLOOKUP(B4883,#REF!,2,0),IF(A4883="SUDECAP",VLOOKUP(B4883,#REF!,3,0),IF(A4883="SETOP",VLOOKUP(B4883,#REF!,2,0),IF(A4883="COTAÇÃO",VLOOKUP(B4883,'Mapa Cotações'!$A:$N,2,0))))))))</f>
        <v/>
      </c>
      <c r="D4883" s="89" t="str">
        <f>IF(B4883="","",IF($A$8="NÃO DESONERADO",(IF(A4883="SINAPI",VLOOKUP(B4883,#REF!,3,0),IF(A4883="SUDECAP",VLOOKUP(B4883,#REF!,4,0),IF(A4883="SETOP",VLOOKUP(B4883,#REF!,3,0),IF(A4883="COTAÇÃO",VLOOKUP(B4883,'Mapa Cotações'!$A:$N,3,0)))))),(IF(A4883="SINAPI",VLOOKUP(B4883,#REF!,3,0),IF(A4883="SUDECAP",VLOOKUP(B4883,#REF!,4,0),IF(A4883="SETOP",VLOOKUP(B4883,#REF!,3,0),IF(A4883="COTAÇÃO",VLOOKUP(B4883,'Mapa Cotações'!$A:$N,3,0))))))))</f>
        <v/>
      </c>
      <c r="E4883" s="88"/>
      <c r="F4883" s="89" t="str">
        <f>IF(B4883="","",IF($A$8="NÃO DESONERADO",(IF(A4883="SINAPI",VLOOKUP(B4883,#REF!,4,0),IF(A4883="SUDECAP",VLOOKUP(B4883,#REF!,5,0),IF(A4883="SETOP",VLOOKUP(B4883,#REF!,4,0),IF(A4883="COTAÇÃO",VLOOKUP(B4883,'Mapa Cotações'!$A:$N,13,0)))))),(IF(A4883="SINAPI",VLOOKUP(B4883,#REF!,4,0),IF(A4883="SUDECAP",VLOOKUP(B4883,#REF!,5,0),IF(A4883="SETOP",VLOOKUP(B4883,#REF!,4,0),IF(A4883="COTAÇÃO",VLOOKUP(B4883,'Mapa Cotações'!$A:$N,13,0))))))))</f>
        <v/>
      </c>
      <c r="G4883" s="89" t="str">
        <f>IF(D4883="","",E4883*F4883)</f>
        <v/>
      </c>
    </row>
    <row r="4884" spans="1:11">
      <c r="A4884" s="832" t="s">
        <v>1908</v>
      </c>
      <c r="B4884" s="833"/>
      <c r="C4884" s="833"/>
      <c r="D4884" s="833"/>
      <c r="E4884" s="833"/>
      <c r="F4884" s="834"/>
      <c r="G4884" s="90" t="str">
        <f>IF(F4882="","",(SUM(G4882:G4883)))</f>
        <v/>
      </c>
    </row>
    <row r="4885" spans="1:11">
      <c r="A4885" s="91"/>
      <c r="B4885" s="92"/>
      <c r="C4885" s="162"/>
      <c r="D4885" s="92"/>
      <c r="E4885" s="97"/>
      <c r="F4885" s="98"/>
      <c r="G4885" s="96"/>
    </row>
    <row r="4886" spans="1:11">
      <c r="A4886" s="835" t="s">
        <v>1912</v>
      </c>
      <c r="B4886" s="836"/>
      <c r="C4886" s="836"/>
      <c r="D4886" s="836"/>
      <c r="E4886" s="836"/>
      <c r="F4886" s="836"/>
      <c r="G4886" s="837"/>
    </row>
    <row r="4887" spans="1:11">
      <c r="A4887" s="84" t="s">
        <v>1903</v>
      </c>
      <c r="B4887" s="84" t="s">
        <v>131</v>
      </c>
      <c r="C4887" s="160" t="s">
        <v>1904</v>
      </c>
      <c r="D4887" s="84" t="s">
        <v>167</v>
      </c>
      <c r="E4887" s="85" t="s">
        <v>1905</v>
      </c>
      <c r="F4887" s="86" t="s">
        <v>1906</v>
      </c>
      <c r="G4887" s="86" t="s">
        <v>1907</v>
      </c>
    </row>
    <row r="4888" spans="1:11" ht="36">
      <c r="A4888" s="87" t="s">
        <v>3</v>
      </c>
      <c r="B4888" s="87" t="s">
        <v>2182</v>
      </c>
      <c r="C4888" s="278" t="s">
        <v>2183</v>
      </c>
      <c r="D4888" s="89" t="s">
        <v>2184</v>
      </c>
      <c r="E4888" s="88">
        <v>1.05</v>
      </c>
      <c r="F4888" s="89">
        <v>130.85</v>
      </c>
      <c r="G4888" s="89">
        <f>IF(D4888="","",E4888*F4888)</f>
        <v>137.39250000000001</v>
      </c>
    </row>
    <row r="4889" spans="1:11" ht="48">
      <c r="A4889" s="87" t="s">
        <v>2</v>
      </c>
      <c r="B4889" s="87">
        <v>104958</v>
      </c>
      <c r="C4889" s="278" t="s">
        <v>2185</v>
      </c>
      <c r="D4889" s="89" t="s">
        <v>2184</v>
      </c>
      <c r="E4889" s="88">
        <f>E4888*2</f>
        <v>2.1</v>
      </c>
      <c r="F4889" s="89">
        <v>22.71</v>
      </c>
      <c r="G4889" s="89">
        <f>IF(D4889="","",E4889*F4889)</f>
        <v>47.691000000000003</v>
      </c>
    </row>
    <row r="4890" spans="1:11">
      <c r="A4890" s="832" t="s">
        <v>1908</v>
      </c>
      <c r="B4890" s="833" t="s">
        <v>1908</v>
      </c>
      <c r="C4890" s="833"/>
      <c r="D4890" s="833"/>
      <c r="E4890" s="833"/>
      <c r="F4890" s="834"/>
      <c r="G4890" s="90">
        <f>IF(F4888="","",(SUM(G4888:G4889)))</f>
        <v>185.08350000000002</v>
      </c>
    </row>
    <row r="4891" spans="1:11" ht="13.5" thickBot="1">
      <c r="A4891" s="91"/>
      <c r="B4891" s="92"/>
      <c r="C4891" s="163"/>
      <c r="D4891" s="99"/>
      <c r="E4891" s="100"/>
      <c r="F4891" s="101"/>
      <c r="G4891" s="102"/>
    </row>
    <row r="4892" spans="1:11" ht="13.5" thickBot="1">
      <c r="A4892" s="838" t="s">
        <v>1259</v>
      </c>
      <c r="B4892" s="839"/>
      <c r="C4892" s="839"/>
      <c r="D4892" s="839"/>
      <c r="E4892" s="839"/>
      <c r="F4892" s="840"/>
      <c r="G4892" s="103">
        <f>SUM(G4878,G4884,G4890)</f>
        <v>185.08350000000002</v>
      </c>
    </row>
    <row r="4895" spans="1:11">
      <c r="A4895" s="237" t="s">
        <v>131</v>
      </c>
      <c r="B4895" s="190" t="s">
        <v>27</v>
      </c>
      <c r="C4895" s="841" t="s">
        <v>1281</v>
      </c>
      <c r="D4895" s="841"/>
      <c r="E4895" s="841"/>
      <c r="F4895" s="841"/>
      <c r="G4895" s="81" t="s">
        <v>127</v>
      </c>
      <c r="I4895" s="480" t="s">
        <v>1901</v>
      </c>
      <c r="J4895" s="80"/>
      <c r="K4895" s="80"/>
    </row>
    <row r="4896" spans="1:11" ht="50.1" customHeight="1">
      <c r="A4896" s="179" t="s">
        <v>780</v>
      </c>
      <c r="B4896" s="82"/>
      <c r="C4896" s="830" t="s">
        <v>781</v>
      </c>
      <c r="D4896" s="831"/>
      <c r="E4896" s="831"/>
      <c r="F4896" s="186">
        <f>G4916</f>
        <v>3406.4746559999999</v>
      </c>
      <c r="G4896" s="83" t="s">
        <v>167</v>
      </c>
      <c r="I4896" s="481"/>
      <c r="J4896" s="272"/>
      <c r="K4896" s="272"/>
    </row>
    <row r="4897" spans="1:7">
      <c r="A4897" s="818" t="s">
        <v>1902</v>
      </c>
      <c r="B4897" s="819"/>
      <c r="C4897" s="819"/>
      <c r="D4897" s="819"/>
      <c r="E4897" s="819"/>
      <c r="F4897" s="819"/>
      <c r="G4897" s="820"/>
    </row>
    <row r="4898" spans="1:7">
      <c r="A4898" s="84" t="s">
        <v>1903</v>
      </c>
      <c r="B4898" s="84" t="s">
        <v>131</v>
      </c>
      <c r="C4898" s="160" t="s">
        <v>1904</v>
      </c>
      <c r="D4898" s="84" t="s">
        <v>167</v>
      </c>
      <c r="E4898" s="85" t="s">
        <v>1905</v>
      </c>
      <c r="F4898" s="86" t="s">
        <v>1906</v>
      </c>
      <c r="G4898" s="86" t="s">
        <v>1907</v>
      </c>
    </row>
    <row r="4899" spans="1:7">
      <c r="A4899" s="87" t="s">
        <v>1917</v>
      </c>
      <c r="B4899" s="87" t="str">
        <f>'Mapa Cotações'!A173</f>
        <v>COT-0180</v>
      </c>
      <c r="C4899" s="278" t="str">
        <f>IF(B4899="","",IF($A$8="NÃO DESONERADO",(IF(A4899="SINAPI",VLOOKUP(B4899,#REF!,2,0),IF(A4899="SUDECAP",VLOOKUP(B4899,#REF!,3,0),IF(A4899="SETOP",VLOOKUP(B4899,#REF!,2,0),IF(A4899="COTAÇÃO",VLOOKUP(B4899,'Mapa Cotações'!$A:$N,2,0)))))),(IF(A4899="SINAPI",VLOOKUP(B4899,#REF!,2,0),IF(A4899="SUDECAP",VLOOKUP(B4899,#REF!,3,0),IF(A4899="SETOP",VLOOKUP(B4899,#REF!,2,0),IF(A4899="COTAÇÃO",VLOOKUP(B4899,'Mapa Cotações'!$A:$N,2,0))))))))</f>
        <v>Kit Porta de madeira 210x1,0m</v>
      </c>
      <c r="D4899" s="89" t="str">
        <f>IF(B4899="","",IF($A$8="NÃO DESONERADO",(IF(A4899="SINAPI",VLOOKUP(B4899,#REF!,3,0),IF(A4899="SUDECAP",VLOOKUP(B4899,#REF!,4,0),IF(A4899="SETOP",VLOOKUP(B4899,#REF!,3,0),IF(A4899="COTAÇÃO",VLOOKUP(B4899,'Mapa Cotações'!$A:$N,3,0)))))),(IF(A4899="SINAPI",VLOOKUP(B4899,#REF!,3,0),IF(A4899="SUDECAP",VLOOKUP(B4899,#REF!,4,0),IF(A4899="SETOP",VLOOKUP(B4899,#REF!,3,0),IF(A4899="COTAÇÃO",VLOOKUP(B4899,'Mapa Cotações'!$A:$N,3,0))))))))</f>
        <v>UN</v>
      </c>
      <c r="E4899" s="88">
        <v>1</v>
      </c>
      <c r="F4899" s="89">
        <f>IF(B4899="","",IF($A$8="NÃO DESONERADO",(IF(A4899="SINAPI",VLOOKUP(B4899,#REF!,4,0),IF(A4899="SUDECAP",VLOOKUP(B4899,#REF!,5,0),IF(A4899="SETOP",VLOOKUP(B4899,#REF!,4,0),IF(A4899="COTAÇÃO",VLOOKUP(B4899,'Mapa Cotações'!$A:$N,13,0)))))),(IF(A4899="SINAPI",VLOOKUP(B4899,#REF!,4,0),IF(A4899="SUDECAP",VLOOKUP(B4899,#REF!,5,0),IF(A4899="SETOP",VLOOKUP(B4899,#REF!,4,0),IF(A4899="COTAÇÃO",VLOOKUP(B4899,'Mapa Cotações'!$A:$N,13,0))))))))</f>
        <v>3300</v>
      </c>
      <c r="G4899" s="89">
        <f>IF(D4899="","",E4899*F4899)</f>
        <v>3300</v>
      </c>
    </row>
    <row r="4900" spans="1:7">
      <c r="A4900" s="87"/>
      <c r="B4900" s="87"/>
      <c r="C4900" s="278" t="str">
        <f>IF(B4900="","",IF($A$8="NÃO DESONERADO",(IF(A4900="SINAPI",VLOOKUP(B4900,#REF!,2,0),IF(A4900="SUDECAP",VLOOKUP(B4900,#REF!,3,0),IF(A4900="SETOP",VLOOKUP(B4900,#REF!,2,0),IF(A4900="COTAÇÃO",VLOOKUP(B4900,'Mapa Cotações'!$A:$N,2,0)))))),(IF(A4900="SINAPI",VLOOKUP(B4900,#REF!,2,0),IF(A4900="SUDECAP",VLOOKUP(B4900,#REF!,3,0),IF(A4900="SETOP",VLOOKUP(B4900,#REF!,2,0),IF(A4900="COTAÇÃO",VLOOKUP(B4900,'Mapa Cotações'!$A:$N,2,0))))))))</f>
        <v/>
      </c>
      <c r="D4900" s="89" t="str">
        <f>IF(B4900="","",IF($A$8="NÃO DESONERADO",(IF(A4900="SINAPI",VLOOKUP(B4900,#REF!,3,0),IF(A4900="SUDECAP",VLOOKUP(B4900,#REF!,4,0),IF(A4900="SETOP",VLOOKUP(B4900,#REF!,3,0),IF(A4900="COTAÇÃO",VLOOKUP(B4900,'Mapa Cotações'!$A:$N,3,0)))))),(IF(A4900="SINAPI",VLOOKUP(B4900,#REF!,3,0),IF(A4900="SUDECAP",VLOOKUP(B4900,#REF!,4,0),IF(A4900="SETOP",VLOOKUP(B4900,#REF!,3,0),IF(A4900="COTAÇÃO",VLOOKUP(B4900,'Mapa Cotações'!$A:$N,3,0))))))))</f>
        <v/>
      </c>
      <c r="E4900" s="88"/>
      <c r="F4900" s="89" t="str">
        <f>IF(B4900="","",IF($A$8="NÃO DESONERADO",(IF(A4900="SINAPI",VLOOKUP(B4900,#REF!,4,0),IF(A4900="SUDECAP",VLOOKUP(B4900,#REF!,5,0),IF(A4900="SETOP",VLOOKUP(B4900,#REF!,4,0),IF(A4900="COTAÇÃO",VLOOKUP(B4900,'Mapa Cotações'!$A:$N,13,0)))))),(IF(A4900="SINAPI",VLOOKUP(B4900,#REF!,4,0),IF(A4900="SUDECAP",VLOOKUP(B4900,#REF!,5,0),IF(A4900="SETOP",VLOOKUP(B4900,#REF!,4,0),IF(A4900="COTAÇÃO",VLOOKUP(B4900,'Mapa Cotações'!$A:$N,13,0))))))))</f>
        <v/>
      </c>
      <c r="G4900" s="89" t="str">
        <f>IF(D4900="","",E4900*F4900)</f>
        <v/>
      </c>
    </row>
    <row r="4901" spans="1:7">
      <c r="A4901" s="832" t="s">
        <v>1908</v>
      </c>
      <c r="B4901" s="833"/>
      <c r="C4901" s="833"/>
      <c r="D4901" s="833"/>
      <c r="E4901" s="833"/>
      <c r="F4901" s="834"/>
      <c r="G4901" s="90">
        <f>IF(F4899="","",(SUM(G4899:G4900)))</f>
        <v>3300</v>
      </c>
    </row>
    <row r="4902" spans="1:7">
      <c r="A4902" s="91"/>
      <c r="B4902" s="92"/>
      <c r="C4902" s="161"/>
      <c r="D4902" s="93"/>
      <c r="E4902" s="94"/>
      <c r="F4902" s="95"/>
      <c r="G4902" s="96"/>
    </row>
    <row r="4903" spans="1:7">
      <c r="A4903" s="835" t="s">
        <v>1909</v>
      </c>
      <c r="B4903" s="836"/>
      <c r="C4903" s="836"/>
      <c r="D4903" s="836"/>
      <c r="E4903" s="836"/>
      <c r="F4903" s="836"/>
      <c r="G4903" s="837"/>
    </row>
    <row r="4904" spans="1:7">
      <c r="A4904" s="84" t="s">
        <v>1903</v>
      </c>
      <c r="B4904" s="84" t="s">
        <v>131</v>
      </c>
      <c r="C4904" s="160" t="s">
        <v>1904</v>
      </c>
      <c r="D4904" s="84" t="s">
        <v>167</v>
      </c>
      <c r="E4904" s="85" t="s">
        <v>1905</v>
      </c>
      <c r="F4904" s="86" t="s">
        <v>1906</v>
      </c>
      <c r="G4904" s="86" t="s">
        <v>1907</v>
      </c>
    </row>
    <row r="4905" spans="1:7" ht="24">
      <c r="A4905" s="87" t="s">
        <v>2</v>
      </c>
      <c r="B4905" s="87" t="s">
        <v>2186</v>
      </c>
      <c r="C4905" s="278" t="s">
        <v>2116</v>
      </c>
      <c r="D4905" s="89" t="s">
        <v>137</v>
      </c>
      <c r="E4905" s="88" t="s">
        <v>2187</v>
      </c>
      <c r="F4905" s="89" t="s">
        <v>2188</v>
      </c>
      <c r="G4905" s="89">
        <f>IF(D4905="","",E4905*F4905)</f>
        <v>10.25145</v>
      </c>
    </row>
    <row r="4906" spans="1:7">
      <c r="A4906" s="87" t="s">
        <v>2</v>
      </c>
      <c r="B4906" s="87" t="s">
        <v>2189</v>
      </c>
      <c r="C4906" s="278" t="s">
        <v>2190</v>
      </c>
      <c r="D4906" s="89" t="s">
        <v>137</v>
      </c>
      <c r="E4906" s="88" t="s">
        <v>2191</v>
      </c>
      <c r="F4906" s="89" t="s">
        <v>2192</v>
      </c>
      <c r="G4906" s="89">
        <f>IF(D4906="","",E4906*F4906)</f>
        <v>56.9756</v>
      </c>
    </row>
    <row r="4907" spans="1:7">
      <c r="A4907" s="87" t="s">
        <v>2</v>
      </c>
      <c r="B4907" s="87" t="s">
        <v>2193</v>
      </c>
      <c r="C4907" s="278" t="s">
        <v>1922</v>
      </c>
      <c r="D4907" s="89" t="s">
        <v>137</v>
      </c>
      <c r="E4907" s="88" t="s">
        <v>2194</v>
      </c>
      <c r="F4907" s="89" t="s">
        <v>2195</v>
      </c>
      <c r="G4907" s="89">
        <f>IF(D4907="","",E4907*F4907)</f>
        <v>24.00216</v>
      </c>
    </row>
    <row r="4908" spans="1:7">
      <c r="A4908" s="832" t="s">
        <v>1908</v>
      </c>
      <c r="B4908" s="833"/>
      <c r="C4908" s="833"/>
      <c r="D4908" s="833"/>
      <c r="E4908" s="833"/>
      <c r="F4908" s="834"/>
      <c r="G4908" s="90">
        <f>IF(F4905="","",(SUM(G4905:G4907)))</f>
        <v>91.229210000000009</v>
      </c>
    </row>
    <row r="4909" spans="1:7">
      <c r="A4909" s="91"/>
      <c r="B4909" s="92"/>
      <c r="C4909" s="162"/>
      <c r="D4909" s="92"/>
      <c r="E4909" s="97"/>
      <c r="F4909" s="98"/>
      <c r="G4909" s="96"/>
    </row>
    <row r="4910" spans="1:7">
      <c r="A4910" s="835" t="s">
        <v>1912</v>
      </c>
      <c r="B4910" s="836"/>
      <c r="C4910" s="836"/>
      <c r="D4910" s="836"/>
      <c r="E4910" s="836"/>
      <c r="F4910" s="836"/>
      <c r="G4910" s="837"/>
    </row>
    <row r="4911" spans="1:7">
      <c r="A4911" s="84" t="s">
        <v>1903</v>
      </c>
      <c r="B4911" s="84" t="s">
        <v>131</v>
      </c>
      <c r="C4911" s="160" t="s">
        <v>1904</v>
      </c>
      <c r="D4911" s="84" t="s">
        <v>167</v>
      </c>
      <c r="E4911" s="85" t="s">
        <v>1905</v>
      </c>
      <c r="F4911" s="86" t="s">
        <v>1906</v>
      </c>
      <c r="G4911" s="86" t="s">
        <v>1907</v>
      </c>
    </row>
    <row r="4912" spans="1:7" ht="15">
      <c r="A4912" s="87" t="s">
        <v>2</v>
      </c>
      <c r="B4912" s="87" t="s">
        <v>2196</v>
      </c>
      <c r="C4912" t="s">
        <v>2197</v>
      </c>
      <c r="D4912" s="89" t="s">
        <v>2198</v>
      </c>
      <c r="E4912" s="88" t="s">
        <v>2199</v>
      </c>
      <c r="F4912" s="89" t="s">
        <v>2200</v>
      </c>
      <c r="G4912" s="89">
        <f>IF(D4912="","",E4912*F4912)</f>
        <v>15.245446000000001</v>
      </c>
    </row>
    <row r="4913" spans="1:11">
      <c r="A4913" s="87"/>
      <c r="B4913" s="87"/>
      <c r="C4913" s="278" t="str">
        <f>IF(B4913="","",IF($A$8="NÃO DESONERADO",(IF(A4913="SINAPI",VLOOKUP(B4913,#REF!,2,0),IF(A4913="SUDECAP",VLOOKUP(B4913,#REF!,3,0),IF(A4913="SETOP",VLOOKUP(B4913,#REF!,2,0),IF(A4913="COTAÇÃO",VLOOKUP(B4913,'Mapa Cotações'!$A:$N,2,0)))))),(IF(A4913="SINAPI",VLOOKUP(B4913,#REF!,2,0),IF(A4913="SUDECAP",VLOOKUP(B4913,#REF!,3,0),IF(A4913="SETOP",VLOOKUP(B4913,#REF!,2,0),IF(A4913="COTAÇÃO",VLOOKUP(B4913,'Mapa Cotações'!$A:$N,2,0))))))))</f>
        <v/>
      </c>
      <c r="D4913" s="89" t="str">
        <f>IF(B4913="","",IF($A$8="NÃO DESONERADO",(IF(A4913="SINAPI",VLOOKUP(B4913,#REF!,3,0),IF(A4913="SUDECAP",VLOOKUP(B4913,#REF!,4,0),IF(A4913="SETOP",VLOOKUP(B4913,#REF!,3,0),IF(A4913="COTAÇÃO",VLOOKUP(B4913,'Mapa Cotações'!$A:$N,3,0)))))),(IF(A4913="SINAPI",VLOOKUP(B4913,#REF!,3,0),IF(A4913="SUDECAP",VLOOKUP(B4913,#REF!,4,0),IF(A4913="SETOP",VLOOKUP(B4913,#REF!,3,0),IF(A4913="COTAÇÃO",VLOOKUP(B4913,'Mapa Cotações'!$A:$N,3,0))))))))</f>
        <v/>
      </c>
      <c r="E4913" s="88"/>
      <c r="F4913" s="89" t="str">
        <f>IF(B4913="","",IF($A$8="NÃO DESONERADO",(IF(A4913="SINAPI",VLOOKUP(B4913,#REF!,4,0),IF(A4913="SUDECAP",VLOOKUP(B4913,#REF!,5,0),IF(A4913="SETOP",VLOOKUP(B4913,#REF!,4,0),IF(A4913="COTAÇÃO",VLOOKUP(B4913,'Mapa Cotações'!$A:$N,13,0)))))),(IF(A4913="SINAPI",VLOOKUP(B4913,#REF!,4,0),IF(A4913="SUDECAP",VLOOKUP(B4913,#REF!,5,0),IF(A4913="SETOP",VLOOKUP(B4913,#REF!,4,0),IF(A4913="COTAÇÃO",VLOOKUP(B4913,'Mapa Cotações'!$A:$N,13,0))))))))</f>
        <v/>
      </c>
      <c r="G4913" s="89" t="str">
        <f>IF(D4913="","",E4913*F4913)</f>
        <v/>
      </c>
    </row>
    <row r="4914" spans="1:11">
      <c r="A4914" s="832" t="s">
        <v>1908</v>
      </c>
      <c r="B4914" s="833" t="s">
        <v>1908</v>
      </c>
      <c r="C4914" s="833"/>
      <c r="D4914" s="833"/>
      <c r="E4914" s="833"/>
      <c r="F4914" s="834"/>
      <c r="G4914" s="90">
        <f>IF(F4912="","",(SUM(G4912:G4913)))</f>
        <v>15.245446000000001</v>
      </c>
    </row>
    <row r="4915" spans="1:11" ht="13.5" thickBot="1">
      <c r="A4915" s="91"/>
      <c r="B4915" s="92"/>
      <c r="C4915" s="163"/>
      <c r="D4915" s="99"/>
      <c r="E4915" s="100"/>
      <c r="F4915" s="101"/>
      <c r="G4915" s="102"/>
    </row>
    <row r="4916" spans="1:11" ht="13.5" thickBot="1">
      <c r="A4916" s="838" t="s">
        <v>1259</v>
      </c>
      <c r="B4916" s="839"/>
      <c r="C4916" s="839"/>
      <c r="D4916" s="839"/>
      <c r="E4916" s="839"/>
      <c r="F4916" s="840"/>
      <c r="G4916" s="103">
        <f>SUM(G4901,G4908,G4914)</f>
        <v>3406.4746559999999</v>
      </c>
    </row>
    <row r="4919" spans="1:11">
      <c r="A4919" s="237" t="s">
        <v>131</v>
      </c>
      <c r="B4919" s="190" t="s">
        <v>27</v>
      </c>
      <c r="C4919" s="841" t="s">
        <v>1281</v>
      </c>
      <c r="D4919" s="841"/>
      <c r="E4919" s="841"/>
      <c r="F4919" s="841"/>
      <c r="G4919" s="81" t="s">
        <v>127</v>
      </c>
      <c r="I4919" s="480" t="s">
        <v>1901</v>
      </c>
      <c r="J4919" s="80"/>
      <c r="K4919" s="80"/>
    </row>
    <row r="4920" spans="1:11" ht="50.1" customHeight="1">
      <c r="A4920" s="179" t="s">
        <v>783</v>
      </c>
      <c r="B4920" s="82"/>
      <c r="C4920" s="830" t="s">
        <v>784</v>
      </c>
      <c r="D4920" s="831"/>
      <c r="E4920" s="831"/>
      <c r="F4920" s="186">
        <f>G4940</f>
        <v>5036.4746560000003</v>
      </c>
      <c r="G4920" s="83" t="s">
        <v>167</v>
      </c>
      <c r="I4920" s="481"/>
      <c r="J4920" s="272"/>
      <c r="K4920" s="272"/>
    </row>
    <row r="4921" spans="1:11">
      <c r="A4921" s="818" t="s">
        <v>1902</v>
      </c>
      <c r="B4921" s="819"/>
      <c r="C4921" s="819"/>
      <c r="D4921" s="819"/>
      <c r="E4921" s="819"/>
      <c r="F4921" s="819"/>
      <c r="G4921" s="820"/>
    </row>
    <row r="4922" spans="1:11">
      <c r="A4922" s="84" t="s">
        <v>1903</v>
      </c>
      <c r="B4922" s="84" t="s">
        <v>131</v>
      </c>
      <c r="C4922" s="160" t="s">
        <v>1904</v>
      </c>
      <c r="D4922" s="84" t="s">
        <v>167</v>
      </c>
      <c r="E4922" s="85" t="s">
        <v>1905</v>
      </c>
      <c r="F4922" s="86" t="s">
        <v>1906</v>
      </c>
      <c r="G4922" s="86" t="s">
        <v>1907</v>
      </c>
    </row>
    <row r="4923" spans="1:11">
      <c r="A4923" s="87" t="s">
        <v>1917</v>
      </c>
      <c r="B4923" s="87" t="str">
        <f>'Mapa Cotações'!A174</f>
        <v>COT-0181</v>
      </c>
      <c r="C4923" s="278" t="str">
        <f>IF(B4923="","",IF($A$8="NÃO DESONERADO",(IF(A4923="SINAPI",VLOOKUP(B4923,#REF!,2,0),IF(A4923="SUDECAP",VLOOKUP(B4923,#REF!,3,0),IF(A4923="SETOP",VLOOKUP(B4923,#REF!,2,0),IF(A4923="COTAÇÃO",VLOOKUP(B4923,'Mapa Cotações'!$A:$N,2,0)))))),(IF(A4923="SINAPI",VLOOKUP(B4923,#REF!,2,0),IF(A4923="SUDECAP",VLOOKUP(B4923,#REF!,3,0),IF(A4923="SETOP",VLOOKUP(B4923,#REF!,2,0),IF(A4923="COTAÇÃO",VLOOKUP(B4923,'Mapa Cotações'!$A:$N,2,0))))))))</f>
        <v>Kit Porta de madeira 210x1,4m</v>
      </c>
      <c r="D4923" s="89" t="str">
        <f>IF(B4923="","",IF($A$8="NÃO DESONERADO",(IF(A4923="SINAPI",VLOOKUP(B4923,#REF!,3,0),IF(A4923="SUDECAP",VLOOKUP(B4923,#REF!,4,0),IF(A4923="SETOP",VLOOKUP(B4923,#REF!,3,0),IF(A4923="COTAÇÃO",VLOOKUP(B4923,'Mapa Cotações'!$A:$N,3,0)))))),(IF(A4923="SINAPI",VLOOKUP(B4923,#REF!,3,0),IF(A4923="SUDECAP",VLOOKUP(B4923,#REF!,4,0),IF(A4923="SETOP",VLOOKUP(B4923,#REF!,3,0),IF(A4923="COTAÇÃO",VLOOKUP(B4923,'Mapa Cotações'!$A:$N,3,0))))))))</f>
        <v>UN</v>
      </c>
      <c r="E4923" s="88">
        <v>1</v>
      </c>
      <c r="F4923" s="89">
        <f>'Mapa Cotações'!M174</f>
        <v>4930</v>
      </c>
      <c r="G4923" s="89">
        <f>IF(D4923="","",E4923*F4923)</f>
        <v>4930</v>
      </c>
    </row>
    <row r="4924" spans="1:11">
      <c r="A4924" s="87"/>
      <c r="B4924" s="87"/>
      <c r="C4924" s="278" t="str">
        <f>IF(B4924="","",IF($A$8="NÃO DESONERADO",(IF(A4924="SINAPI",VLOOKUP(B4924,#REF!,2,0),IF(A4924="SUDECAP",VLOOKUP(B4924,#REF!,3,0),IF(A4924="SETOP",VLOOKUP(B4924,#REF!,2,0),IF(A4924="COTAÇÃO",VLOOKUP(B4924,'Mapa Cotações'!$A:$N,2,0)))))),(IF(A4924="SINAPI",VLOOKUP(B4924,#REF!,2,0),IF(A4924="SUDECAP",VLOOKUP(B4924,#REF!,3,0),IF(A4924="SETOP",VLOOKUP(B4924,#REF!,2,0),IF(A4924="COTAÇÃO",VLOOKUP(B4924,'Mapa Cotações'!$A:$N,2,0))))))))</f>
        <v/>
      </c>
      <c r="D4924" s="89" t="str">
        <f>IF(B4924="","",IF($A$8="NÃO DESONERADO",(IF(A4924="SINAPI",VLOOKUP(B4924,#REF!,3,0),IF(A4924="SUDECAP",VLOOKUP(B4924,#REF!,4,0),IF(A4924="SETOP",VLOOKUP(B4924,#REF!,3,0),IF(A4924="COTAÇÃO",VLOOKUP(B4924,'Mapa Cotações'!$A:$N,3,0)))))),(IF(A4924="SINAPI",VLOOKUP(B4924,#REF!,3,0),IF(A4924="SUDECAP",VLOOKUP(B4924,#REF!,4,0),IF(A4924="SETOP",VLOOKUP(B4924,#REF!,3,0),IF(A4924="COTAÇÃO",VLOOKUP(B4924,'Mapa Cotações'!$A:$N,3,0))))))))</f>
        <v/>
      </c>
      <c r="E4924" s="88"/>
      <c r="F4924" s="89" t="str">
        <f>IF(B4924="","",IF($A$8="NÃO DESONERADO",(IF(A4924="SINAPI",VLOOKUP(B4924,#REF!,4,0),IF(A4924="SUDECAP",VLOOKUP(B4924,#REF!,5,0),IF(A4924="SETOP",VLOOKUP(B4924,#REF!,4,0),IF(A4924="COTAÇÃO",VLOOKUP(B4924,'Mapa Cotações'!$A:$N,13,0)))))),(IF(A4924="SINAPI",VLOOKUP(B4924,#REF!,4,0),IF(A4924="SUDECAP",VLOOKUP(B4924,#REF!,5,0),IF(A4924="SETOP",VLOOKUP(B4924,#REF!,4,0),IF(A4924="COTAÇÃO",VLOOKUP(B4924,'Mapa Cotações'!$A:$N,13,0))))))))</f>
        <v/>
      </c>
      <c r="G4924" s="89" t="str">
        <f>IF(D4924="","",E4924*F4924)</f>
        <v/>
      </c>
    </row>
    <row r="4925" spans="1:11">
      <c r="A4925" s="832" t="s">
        <v>1908</v>
      </c>
      <c r="B4925" s="833"/>
      <c r="C4925" s="833"/>
      <c r="D4925" s="833"/>
      <c r="E4925" s="833"/>
      <c r="F4925" s="834"/>
      <c r="G4925" s="90">
        <f>IF(F4923="","",(SUM(G4923:G4924)))</f>
        <v>4930</v>
      </c>
    </row>
    <row r="4926" spans="1:11">
      <c r="A4926" s="91"/>
      <c r="B4926" s="92"/>
      <c r="C4926" s="161"/>
      <c r="D4926" s="93"/>
      <c r="E4926" s="94"/>
      <c r="F4926" s="95"/>
      <c r="G4926" s="96"/>
    </row>
    <row r="4927" spans="1:11">
      <c r="A4927" s="835" t="s">
        <v>1909</v>
      </c>
      <c r="B4927" s="836"/>
      <c r="C4927" s="836"/>
      <c r="D4927" s="836"/>
      <c r="E4927" s="836"/>
      <c r="F4927" s="836"/>
      <c r="G4927" s="837"/>
    </row>
    <row r="4928" spans="1:11">
      <c r="A4928" s="84" t="s">
        <v>1903</v>
      </c>
      <c r="B4928" s="84" t="s">
        <v>131</v>
      </c>
      <c r="C4928" s="160" t="s">
        <v>1904</v>
      </c>
      <c r="D4928" s="84" t="s">
        <v>167</v>
      </c>
      <c r="E4928" s="85" t="s">
        <v>1905</v>
      </c>
      <c r="F4928" s="86" t="s">
        <v>1906</v>
      </c>
      <c r="G4928" s="86" t="s">
        <v>1907</v>
      </c>
    </row>
    <row r="4929" spans="1:11" ht="24">
      <c r="A4929" s="87" t="s">
        <v>2</v>
      </c>
      <c r="B4929" s="87" t="s">
        <v>2186</v>
      </c>
      <c r="C4929" s="278" t="s">
        <v>2116</v>
      </c>
      <c r="D4929" s="89" t="s">
        <v>137</v>
      </c>
      <c r="E4929" s="88" t="s">
        <v>2187</v>
      </c>
      <c r="F4929" s="89" t="s">
        <v>2188</v>
      </c>
      <c r="G4929" s="89">
        <f>IF(D4929="","",E4929*F4929)</f>
        <v>10.25145</v>
      </c>
    </row>
    <row r="4930" spans="1:11">
      <c r="A4930" s="87" t="s">
        <v>2</v>
      </c>
      <c r="B4930" s="87" t="s">
        <v>2189</v>
      </c>
      <c r="C4930" s="278" t="s">
        <v>2190</v>
      </c>
      <c r="D4930" s="89" t="s">
        <v>137</v>
      </c>
      <c r="E4930" s="88" t="s">
        <v>2191</v>
      </c>
      <c r="F4930" s="89" t="s">
        <v>2192</v>
      </c>
      <c r="G4930" s="89">
        <f>IF(D4930="","",E4930*F4930)</f>
        <v>56.9756</v>
      </c>
    </row>
    <row r="4931" spans="1:11">
      <c r="A4931" s="87" t="s">
        <v>2</v>
      </c>
      <c r="B4931" s="87" t="s">
        <v>2193</v>
      </c>
      <c r="C4931" s="278" t="s">
        <v>1922</v>
      </c>
      <c r="D4931" s="89" t="s">
        <v>137</v>
      </c>
      <c r="E4931" s="88" t="s">
        <v>2194</v>
      </c>
      <c r="F4931" s="89" t="s">
        <v>2195</v>
      </c>
      <c r="G4931" s="89">
        <f>IF(D4931="","",E4931*F4931)</f>
        <v>24.00216</v>
      </c>
    </row>
    <row r="4932" spans="1:11">
      <c r="A4932" s="832" t="s">
        <v>1908</v>
      </c>
      <c r="B4932" s="833"/>
      <c r="C4932" s="833"/>
      <c r="D4932" s="833"/>
      <c r="E4932" s="833"/>
      <c r="F4932" s="834"/>
      <c r="G4932" s="90">
        <f>IF(F4929="","",(SUM(G4929:G4931)))</f>
        <v>91.229210000000009</v>
      </c>
    </row>
    <row r="4933" spans="1:11">
      <c r="A4933" s="91"/>
      <c r="B4933" s="92"/>
      <c r="C4933" s="162"/>
      <c r="D4933" s="92"/>
      <c r="E4933" s="97"/>
      <c r="F4933" s="98"/>
      <c r="G4933" s="96"/>
    </row>
    <row r="4934" spans="1:11">
      <c r="A4934" s="835" t="s">
        <v>1912</v>
      </c>
      <c r="B4934" s="836"/>
      <c r="C4934" s="836"/>
      <c r="D4934" s="836"/>
      <c r="E4934" s="836"/>
      <c r="F4934" s="836"/>
      <c r="G4934" s="837"/>
    </row>
    <row r="4935" spans="1:11">
      <c r="A4935" s="84" t="s">
        <v>1903</v>
      </c>
      <c r="B4935" s="84" t="s">
        <v>131</v>
      </c>
      <c r="C4935" s="160" t="s">
        <v>1904</v>
      </c>
      <c r="D4935" s="84" t="s">
        <v>167</v>
      </c>
      <c r="E4935" s="85" t="s">
        <v>1905</v>
      </c>
      <c r="F4935" s="86" t="s">
        <v>1906</v>
      </c>
      <c r="G4935" s="86" t="s">
        <v>1907</v>
      </c>
    </row>
    <row r="4936" spans="1:11" ht="15">
      <c r="A4936" s="87" t="s">
        <v>2</v>
      </c>
      <c r="B4936" s="87" t="s">
        <v>2196</v>
      </c>
      <c r="C4936" t="s">
        <v>2197</v>
      </c>
      <c r="D4936" s="89" t="s">
        <v>2198</v>
      </c>
      <c r="E4936" s="88" t="s">
        <v>2199</v>
      </c>
      <c r="F4936" s="89" t="s">
        <v>2200</v>
      </c>
      <c r="G4936" s="89">
        <f>IF(D4936="","",E4936*F4936)</f>
        <v>15.245446000000001</v>
      </c>
    </row>
    <row r="4937" spans="1:11">
      <c r="A4937" s="87"/>
      <c r="B4937" s="87"/>
      <c r="C4937" s="278" t="str">
        <f>IF(B4937="","",IF($A$8="NÃO DESONERADO",(IF(A4937="SINAPI",VLOOKUP(B4937,#REF!,2,0),IF(A4937="SUDECAP",VLOOKUP(B4937,#REF!,3,0),IF(A4937="SETOP",VLOOKUP(B4937,#REF!,2,0),IF(A4937="COTAÇÃO",VLOOKUP(B4937,'Mapa Cotações'!$A:$N,2,0)))))),(IF(A4937="SINAPI",VLOOKUP(B4937,#REF!,2,0),IF(A4937="SUDECAP",VLOOKUP(B4937,#REF!,3,0),IF(A4937="SETOP",VLOOKUP(B4937,#REF!,2,0),IF(A4937="COTAÇÃO",VLOOKUP(B4937,'Mapa Cotações'!$A:$N,2,0))))))))</f>
        <v/>
      </c>
      <c r="D4937" s="89" t="str">
        <f>IF(B4937="","",IF($A$8="NÃO DESONERADO",(IF(A4937="SINAPI",VLOOKUP(B4937,#REF!,3,0),IF(A4937="SUDECAP",VLOOKUP(B4937,#REF!,4,0),IF(A4937="SETOP",VLOOKUP(B4937,#REF!,3,0),IF(A4937="COTAÇÃO",VLOOKUP(B4937,'Mapa Cotações'!$A:$N,3,0)))))),(IF(A4937="SINAPI",VLOOKUP(B4937,#REF!,3,0),IF(A4937="SUDECAP",VLOOKUP(B4937,#REF!,4,0),IF(A4937="SETOP",VLOOKUP(B4937,#REF!,3,0),IF(A4937="COTAÇÃO",VLOOKUP(B4937,'Mapa Cotações'!$A:$N,3,0))))))))</f>
        <v/>
      </c>
      <c r="E4937" s="88"/>
      <c r="F4937" s="89" t="str">
        <f>IF(B4937="","",IF($A$8="NÃO DESONERADO",(IF(A4937="SINAPI",VLOOKUP(B4937,#REF!,4,0),IF(A4937="SUDECAP",VLOOKUP(B4937,#REF!,5,0),IF(A4937="SETOP",VLOOKUP(B4937,#REF!,4,0),IF(A4937="COTAÇÃO",VLOOKUP(B4937,'Mapa Cotações'!$A:$N,13,0)))))),(IF(A4937="SINAPI",VLOOKUP(B4937,#REF!,4,0),IF(A4937="SUDECAP",VLOOKUP(B4937,#REF!,5,0),IF(A4937="SETOP",VLOOKUP(B4937,#REF!,4,0),IF(A4937="COTAÇÃO",VLOOKUP(B4937,'Mapa Cotações'!$A:$N,13,0))))))))</f>
        <v/>
      </c>
      <c r="G4937" s="89" t="str">
        <f>IF(D4937="","",E4937*F4937)</f>
        <v/>
      </c>
    </row>
    <row r="4938" spans="1:11">
      <c r="A4938" s="832" t="s">
        <v>1908</v>
      </c>
      <c r="B4938" s="833" t="s">
        <v>1908</v>
      </c>
      <c r="C4938" s="833"/>
      <c r="D4938" s="833"/>
      <c r="E4938" s="833"/>
      <c r="F4938" s="834"/>
      <c r="G4938" s="90">
        <f>IF(F4936="","",(SUM(G4936:G4937)))</f>
        <v>15.245446000000001</v>
      </c>
    </row>
    <row r="4939" spans="1:11" ht="13.5" thickBot="1">
      <c r="A4939" s="91"/>
      <c r="B4939" s="92"/>
      <c r="C4939" s="163"/>
      <c r="D4939" s="99"/>
      <c r="E4939" s="100"/>
      <c r="F4939" s="101"/>
      <c r="G4939" s="102"/>
    </row>
    <row r="4940" spans="1:11" ht="13.5" thickBot="1">
      <c r="A4940" s="838" t="s">
        <v>1259</v>
      </c>
      <c r="B4940" s="839"/>
      <c r="C4940" s="839"/>
      <c r="D4940" s="839"/>
      <c r="E4940" s="839"/>
      <c r="F4940" s="840"/>
      <c r="G4940" s="103">
        <f>SUM(G4925,G4932,G4938)</f>
        <v>5036.4746560000003</v>
      </c>
    </row>
    <row r="4943" spans="1:11">
      <c r="A4943" s="237" t="s">
        <v>131</v>
      </c>
      <c r="B4943" s="190" t="s">
        <v>27</v>
      </c>
      <c r="C4943" s="841" t="s">
        <v>1281</v>
      </c>
      <c r="D4943" s="841"/>
      <c r="E4943" s="841"/>
      <c r="F4943" s="841"/>
      <c r="G4943" s="81" t="s">
        <v>127</v>
      </c>
      <c r="I4943" s="480" t="s">
        <v>1901</v>
      </c>
      <c r="J4943" s="80"/>
      <c r="K4943" s="80"/>
    </row>
    <row r="4944" spans="1:11" ht="50.1" customHeight="1">
      <c r="A4944" s="179" t="s">
        <v>786</v>
      </c>
      <c r="B4944" s="82"/>
      <c r="C4944" s="830" t="s">
        <v>787</v>
      </c>
      <c r="D4944" s="831"/>
      <c r="E4944" s="831"/>
      <c r="F4944" s="186">
        <f>G4964</f>
        <v>5636.4746560000003</v>
      </c>
      <c r="G4944" s="83" t="s">
        <v>167</v>
      </c>
      <c r="I4944" s="481"/>
      <c r="J4944" s="272"/>
      <c r="K4944" s="272"/>
    </row>
    <row r="4945" spans="1:7">
      <c r="A4945" s="818" t="s">
        <v>1902</v>
      </c>
      <c r="B4945" s="819"/>
      <c r="C4945" s="819"/>
      <c r="D4945" s="819"/>
      <c r="E4945" s="819"/>
      <c r="F4945" s="819"/>
      <c r="G4945" s="820"/>
    </row>
    <row r="4946" spans="1:7">
      <c r="A4946" s="84" t="s">
        <v>1903</v>
      </c>
      <c r="B4946" s="84" t="s">
        <v>131</v>
      </c>
      <c r="C4946" s="160" t="s">
        <v>1904</v>
      </c>
      <c r="D4946" s="84" t="s">
        <v>167</v>
      </c>
      <c r="E4946" s="85" t="s">
        <v>1905</v>
      </c>
      <c r="F4946" s="86" t="s">
        <v>1906</v>
      </c>
      <c r="G4946" s="86" t="s">
        <v>1907</v>
      </c>
    </row>
    <row r="4947" spans="1:7">
      <c r="A4947" s="87" t="s">
        <v>1917</v>
      </c>
      <c r="B4947" s="87" t="str">
        <f>'Mapa Cotações'!A175</f>
        <v>COT-0182</v>
      </c>
      <c r="C4947" s="278" t="str">
        <f>IF(B4947="","",IF($A$8="NÃO DESONERADO",(IF(A4947="SINAPI",VLOOKUP(B4947,#REF!,2,0),IF(A4947="SUDECAP",VLOOKUP(B4947,#REF!,3,0),IF(A4947="SETOP",VLOOKUP(B4947,#REF!,2,0),IF(A4947="COTAÇÃO",VLOOKUP(B4947,'Mapa Cotações'!$A:$N,2,0)))))),(IF(A4947="SINAPI",VLOOKUP(B4947,#REF!,2,0),IF(A4947="SUDECAP",VLOOKUP(B4947,#REF!,3,0),IF(A4947="SETOP",VLOOKUP(B4947,#REF!,2,0),IF(A4947="COTAÇÃO",VLOOKUP(B4947,'Mapa Cotações'!$A:$N,2,0))))))))</f>
        <v>Kit Porta de madeira 210x1,8m</v>
      </c>
      <c r="D4947" s="89" t="str">
        <f>IF(B4947="","",IF($A$8="NÃO DESONERADO",(IF(A4947="SINAPI",VLOOKUP(B4947,#REF!,3,0),IF(A4947="SUDECAP",VLOOKUP(B4947,#REF!,4,0),IF(A4947="SETOP",VLOOKUP(B4947,#REF!,3,0),IF(A4947="COTAÇÃO",VLOOKUP(B4947,'Mapa Cotações'!$A:$N,3,0)))))),(IF(A4947="SINAPI",VLOOKUP(B4947,#REF!,3,0),IF(A4947="SUDECAP",VLOOKUP(B4947,#REF!,4,0),IF(A4947="SETOP",VLOOKUP(B4947,#REF!,3,0),IF(A4947="COTAÇÃO",VLOOKUP(B4947,'Mapa Cotações'!$A:$N,3,0))))))))</f>
        <v>UN</v>
      </c>
      <c r="E4947" s="88">
        <v>1</v>
      </c>
      <c r="F4947" s="89">
        <f>'Mapa Cotações'!M175</f>
        <v>5530</v>
      </c>
      <c r="G4947" s="89">
        <f>IF(D4947="","",E4947*F4947)</f>
        <v>5530</v>
      </c>
    </row>
    <row r="4948" spans="1:7">
      <c r="A4948" s="87"/>
      <c r="B4948" s="87"/>
      <c r="C4948" s="278" t="str">
        <f>IF(B4948="","",IF($A$8="NÃO DESONERADO",(IF(A4948="SINAPI",VLOOKUP(B4948,#REF!,2,0),IF(A4948="SUDECAP",VLOOKUP(B4948,#REF!,3,0),IF(A4948="SETOP",VLOOKUP(B4948,#REF!,2,0),IF(A4948="COTAÇÃO",VLOOKUP(B4948,'Mapa Cotações'!$A:$N,2,0)))))),(IF(A4948="SINAPI",VLOOKUP(B4948,#REF!,2,0),IF(A4948="SUDECAP",VLOOKUP(B4948,#REF!,3,0),IF(A4948="SETOP",VLOOKUP(B4948,#REF!,2,0),IF(A4948="COTAÇÃO",VLOOKUP(B4948,'Mapa Cotações'!$A:$N,2,0))))))))</f>
        <v/>
      </c>
      <c r="D4948" s="89" t="str">
        <f>IF(B4948="","",IF($A$8="NÃO DESONERADO",(IF(A4948="SINAPI",VLOOKUP(B4948,#REF!,3,0),IF(A4948="SUDECAP",VLOOKUP(B4948,#REF!,4,0),IF(A4948="SETOP",VLOOKUP(B4948,#REF!,3,0),IF(A4948="COTAÇÃO",VLOOKUP(B4948,'Mapa Cotações'!$A:$N,3,0)))))),(IF(A4948="SINAPI",VLOOKUP(B4948,#REF!,3,0),IF(A4948="SUDECAP",VLOOKUP(B4948,#REF!,4,0),IF(A4948="SETOP",VLOOKUP(B4948,#REF!,3,0),IF(A4948="COTAÇÃO",VLOOKUP(B4948,'Mapa Cotações'!$A:$N,3,0))))))))</f>
        <v/>
      </c>
      <c r="E4948" s="88"/>
      <c r="F4948" s="89" t="str">
        <f>IF(B4948="","",IF($A$8="NÃO DESONERADO",(IF(A4948="SINAPI",VLOOKUP(B4948,#REF!,4,0),IF(A4948="SUDECAP",VLOOKUP(B4948,#REF!,5,0),IF(A4948="SETOP",VLOOKUP(B4948,#REF!,4,0),IF(A4948="COTAÇÃO",VLOOKUP(B4948,'Mapa Cotações'!$A:$N,13,0)))))),(IF(A4948="SINAPI",VLOOKUP(B4948,#REF!,4,0),IF(A4948="SUDECAP",VLOOKUP(B4948,#REF!,5,0),IF(A4948="SETOP",VLOOKUP(B4948,#REF!,4,0),IF(A4948="COTAÇÃO",VLOOKUP(B4948,'Mapa Cotações'!$A:$N,13,0))))))))</f>
        <v/>
      </c>
      <c r="G4948" s="89" t="str">
        <f>IF(D4948="","",E4948*F4948)</f>
        <v/>
      </c>
    </row>
    <row r="4949" spans="1:7">
      <c r="A4949" s="832" t="s">
        <v>1908</v>
      </c>
      <c r="B4949" s="833"/>
      <c r="C4949" s="833"/>
      <c r="D4949" s="833"/>
      <c r="E4949" s="833"/>
      <c r="F4949" s="834"/>
      <c r="G4949" s="90">
        <f>IF(F4947="","",(SUM(G4947:G4948)))</f>
        <v>5530</v>
      </c>
    </row>
    <row r="4950" spans="1:7">
      <c r="A4950" s="91"/>
      <c r="B4950" s="92"/>
      <c r="C4950" s="161"/>
      <c r="D4950" s="93"/>
      <c r="E4950" s="94"/>
      <c r="F4950" s="95"/>
      <c r="G4950" s="96"/>
    </row>
    <row r="4951" spans="1:7">
      <c r="A4951" s="835" t="s">
        <v>1909</v>
      </c>
      <c r="B4951" s="836"/>
      <c r="C4951" s="836"/>
      <c r="D4951" s="836"/>
      <c r="E4951" s="836"/>
      <c r="F4951" s="836"/>
      <c r="G4951" s="837"/>
    </row>
    <row r="4952" spans="1:7">
      <c r="A4952" s="84" t="s">
        <v>1903</v>
      </c>
      <c r="B4952" s="84" t="s">
        <v>131</v>
      </c>
      <c r="C4952" s="160" t="s">
        <v>1904</v>
      </c>
      <c r="D4952" s="84" t="s">
        <v>167</v>
      </c>
      <c r="E4952" s="85" t="s">
        <v>1905</v>
      </c>
      <c r="F4952" s="86" t="s">
        <v>1906</v>
      </c>
      <c r="G4952" s="86" t="s">
        <v>1907</v>
      </c>
    </row>
    <row r="4953" spans="1:7" ht="24">
      <c r="A4953" s="87" t="s">
        <v>2</v>
      </c>
      <c r="B4953" s="87" t="s">
        <v>2186</v>
      </c>
      <c r="C4953" s="278" t="s">
        <v>2116</v>
      </c>
      <c r="D4953" s="89" t="s">
        <v>137</v>
      </c>
      <c r="E4953" s="88" t="s">
        <v>2187</v>
      </c>
      <c r="F4953" s="89" t="s">
        <v>2188</v>
      </c>
      <c r="G4953" s="89">
        <f>IF(D4953="","",E4953*F4953)</f>
        <v>10.25145</v>
      </c>
    </row>
    <row r="4954" spans="1:7">
      <c r="A4954" s="87" t="s">
        <v>2</v>
      </c>
      <c r="B4954" s="87" t="s">
        <v>2189</v>
      </c>
      <c r="C4954" s="278" t="s">
        <v>2190</v>
      </c>
      <c r="D4954" s="89" t="s">
        <v>137</v>
      </c>
      <c r="E4954" s="88" t="s">
        <v>2191</v>
      </c>
      <c r="F4954" s="89" t="s">
        <v>2192</v>
      </c>
      <c r="G4954" s="89">
        <f>IF(D4954="","",E4954*F4954)</f>
        <v>56.9756</v>
      </c>
    </row>
    <row r="4955" spans="1:7">
      <c r="A4955" s="87" t="s">
        <v>2</v>
      </c>
      <c r="B4955" s="87" t="s">
        <v>2193</v>
      </c>
      <c r="C4955" s="278" t="s">
        <v>1922</v>
      </c>
      <c r="D4955" s="89" t="s">
        <v>137</v>
      </c>
      <c r="E4955" s="88" t="s">
        <v>2194</v>
      </c>
      <c r="F4955" s="89" t="s">
        <v>2195</v>
      </c>
      <c r="G4955" s="89">
        <f>IF(D4955="","",E4955*F4955)</f>
        <v>24.00216</v>
      </c>
    </row>
    <row r="4956" spans="1:7">
      <c r="A4956" s="832" t="s">
        <v>1908</v>
      </c>
      <c r="B4956" s="833"/>
      <c r="C4956" s="833"/>
      <c r="D4956" s="833"/>
      <c r="E4956" s="833"/>
      <c r="F4956" s="834"/>
      <c r="G4956" s="90">
        <f>IF(F4953="","",(SUM(G4953:G4955)))</f>
        <v>91.229210000000009</v>
      </c>
    </row>
    <row r="4957" spans="1:7">
      <c r="A4957" s="91"/>
      <c r="B4957" s="92"/>
      <c r="C4957" s="162"/>
      <c r="D4957" s="92"/>
      <c r="E4957" s="97"/>
      <c r="F4957" s="98"/>
      <c r="G4957" s="96"/>
    </row>
    <row r="4958" spans="1:7">
      <c r="A4958" s="835" t="s">
        <v>1912</v>
      </c>
      <c r="B4958" s="836"/>
      <c r="C4958" s="836"/>
      <c r="D4958" s="836"/>
      <c r="E4958" s="836"/>
      <c r="F4958" s="836"/>
      <c r="G4958" s="837"/>
    </row>
    <row r="4959" spans="1:7">
      <c r="A4959" s="84" t="s">
        <v>1903</v>
      </c>
      <c r="B4959" s="84" t="s">
        <v>131</v>
      </c>
      <c r="C4959" s="160" t="s">
        <v>1904</v>
      </c>
      <c r="D4959" s="84" t="s">
        <v>167</v>
      </c>
      <c r="E4959" s="85" t="s">
        <v>1905</v>
      </c>
      <c r="F4959" s="86" t="s">
        <v>1906</v>
      </c>
      <c r="G4959" s="86" t="s">
        <v>1907</v>
      </c>
    </row>
    <row r="4960" spans="1:7" ht="15">
      <c r="A4960" s="87" t="s">
        <v>2</v>
      </c>
      <c r="B4960" s="87" t="s">
        <v>2196</v>
      </c>
      <c r="C4960" t="s">
        <v>2197</v>
      </c>
      <c r="D4960" s="89" t="s">
        <v>2198</v>
      </c>
      <c r="E4960" s="88" t="s">
        <v>2199</v>
      </c>
      <c r="F4960" s="89" t="s">
        <v>2200</v>
      </c>
      <c r="G4960" s="89">
        <f>IF(D4960="","",E4960*F4960)</f>
        <v>15.245446000000001</v>
      </c>
    </row>
    <row r="4961" spans="1:11">
      <c r="A4961" s="87"/>
      <c r="B4961" s="87"/>
      <c r="C4961" s="278" t="str">
        <f>IF(B4961="","",IF($A$8="NÃO DESONERADO",(IF(A4961="SINAPI",VLOOKUP(B4961,#REF!,2,0),IF(A4961="SUDECAP",VLOOKUP(B4961,#REF!,3,0),IF(A4961="SETOP",VLOOKUP(B4961,#REF!,2,0),IF(A4961="COTAÇÃO",VLOOKUP(B4961,'Mapa Cotações'!$A:$N,2,0)))))),(IF(A4961="SINAPI",VLOOKUP(B4961,#REF!,2,0),IF(A4961="SUDECAP",VLOOKUP(B4961,#REF!,3,0),IF(A4961="SETOP",VLOOKUP(B4961,#REF!,2,0),IF(A4961="COTAÇÃO",VLOOKUP(B4961,'Mapa Cotações'!$A:$N,2,0))))))))</f>
        <v/>
      </c>
      <c r="D4961" s="89" t="str">
        <f>IF(B4961="","",IF($A$8="NÃO DESONERADO",(IF(A4961="SINAPI",VLOOKUP(B4961,#REF!,3,0),IF(A4961="SUDECAP",VLOOKUP(B4961,#REF!,4,0),IF(A4961="SETOP",VLOOKUP(B4961,#REF!,3,0),IF(A4961="COTAÇÃO",VLOOKUP(B4961,'Mapa Cotações'!$A:$N,3,0)))))),(IF(A4961="SINAPI",VLOOKUP(B4961,#REF!,3,0),IF(A4961="SUDECAP",VLOOKUP(B4961,#REF!,4,0),IF(A4961="SETOP",VLOOKUP(B4961,#REF!,3,0),IF(A4961="COTAÇÃO",VLOOKUP(B4961,'Mapa Cotações'!$A:$N,3,0))))))))</f>
        <v/>
      </c>
      <c r="E4961" s="88"/>
      <c r="F4961" s="89" t="str">
        <f>IF(B4961="","",IF($A$8="NÃO DESONERADO",(IF(A4961="SINAPI",VLOOKUP(B4961,#REF!,4,0),IF(A4961="SUDECAP",VLOOKUP(B4961,#REF!,5,0),IF(A4961="SETOP",VLOOKUP(B4961,#REF!,4,0),IF(A4961="COTAÇÃO",VLOOKUP(B4961,'Mapa Cotações'!$A:$N,13,0)))))),(IF(A4961="SINAPI",VLOOKUP(B4961,#REF!,4,0),IF(A4961="SUDECAP",VLOOKUP(B4961,#REF!,5,0),IF(A4961="SETOP",VLOOKUP(B4961,#REF!,4,0),IF(A4961="COTAÇÃO",VLOOKUP(B4961,'Mapa Cotações'!$A:$N,13,0))))))))</f>
        <v/>
      </c>
      <c r="G4961" s="89" t="str">
        <f>IF(D4961="","",E4961*F4961)</f>
        <v/>
      </c>
    </row>
    <row r="4962" spans="1:11">
      <c r="A4962" s="832" t="s">
        <v>1908</v>
      </c>
      <c r="B4962" s="833" t="s">
        <v>1908</v>
      </c>
      <c r="C4962" s="833"/>
      <c r="D4962" s="833"/>
      <c r="E4962" s="833"/>
      <c r="F4962" s="834"/>
      <c r="G4962" s="90">
        <f>IF(F4960="","",(SUM(G4960:G4961)))</f>
        <v>15.245446000000001</v>
      </c>
    </row>
    <row r="4963" spans="1:11" ht="13.5" thickBot="1">
      <c r="A4963" s="91"/>
      <c r="B4963" s="92"/>
      <c r="C4963" s="163"/>
      <c r="D4963" s="99"/>
      <c r="E4963" s="100"/>
      <c r="F4963" s="101"/>
      <c r="G4963" s="102"/>
    </row>
    <row r="4964" spans="1:11" ht="13.5" thickBot="1">
      <c r="A4964" s="838" t="s">
        <v>1259</v>
      </c>
      <c r="B4964" s="839"/>
      <c r="C4964" s="839"/>
      <c r="D4964" s="839"/>
      <c r="E4964" s="839"/>
      <c r="F4964" s="840"/>
      <c r="G4964" s="103">
        <f>SUM(G4949,G4956,G4962)</f>
        <v>5636.4746560000003</v>
      </c>
    </row>
    <row r="4967" spans="1:11">
      <c r="A4967" s="237" t="s">
        <v>131</v>
      </c>
      <c r="B4967" s="190" t="s">
        <v>27</v>
      </c>
      <c r="C4967" s="841" t="s">
        <v>1281</v>
      </c>
      <c r="D4967" s="841"/>
      <c r="E4967" s="841"/>
      <c r="F4967" s="841"/>
      <c r="G4967" s="81" t="s">
        <v>127</v>
      </c>
      <c r="I4967" s="480" t="s">
        <v>1901</v>
      </c>
      <c r="J4967" s="80"/>
      <c r="K4967" s="80"/>
    </row>
    <row r="4968" spans="1:11" ht="50.1" customHeight="1">
      <c r="A4968" s="179" t="s">
        <v>789</v>
      </c>
      <c r="B4968" s="82"/>
      <c r="C4968" s="830" t="s">
        <v>790</v>
      </c>
      <c r="D4968" s="831"/>
      <c r="E4968" s="831"/>
      <c r="F4968" s="186">
        <f>G4988</f>
        <v>6156.4746560000003</v>
      </c>
      <c r="G4968" s="83" t="s">
        <v>167</v>
      </c>
      <c r="I4968" s="481"/>
      <c r="J4968" s="272"/>
      <c r="K4968" s="272"/>
    </row>
    <row r="4969" spans="1:11">
      <c r="A4969" s="818" t="s">
        <v>1902</v>
      </c>
      <c r="B4969" s="819"/>
      <c r="C4969" s="819"/>
      <c r="D4969" s="819"/>
      <c r="E4969" s="819"/>
      <c r="F4969" s="819"/>
      <c r="G4969" s="820"/>
    </row>
    <row r="4970" spans="1:11">
      <c r="A4970" s="84" t="s">
        <v>1903</v>
      </c>
      <c r="B4970" s="84" t="s">
        <v>131</v>
      </c>
      <c r="C4970" s="160" t="s">
        <v>1904</v>
      </c>
      <c r="D4970" s="84" t="s">
        <v>167</v>
      </c>
      <c r="E4970" s="85" t="s">
        <v>1905</v>
      </c>
      <c r="F4970" s="86" t="s">
        <v>1906</v>
      </c>
      <c r="G4970" s="86" t="s">
        <v>1907</v>
      </c>
    </row>
    <row r="4971" spans="1:11">
      <c r="A4971" s="87" t="s">
        <v>1917</v>
      </c>
      <c r="B4971" s="87" t="str">
        <f>'Mapa Cotações'!A176</f>
        <v>COT-0183</v>
      </c>
      <c r="C4971" s="278" t="str">
        <f>IF(B4971="","",IF($A$8="NÃO DESONERADO",(IF(A4971="SINAPI",VLOOKUP(B4971,#REF!,2,0),IF(A4971="SUDECAP",VLOOKUP(B4971,#REF!,3,0),IF(A4971="SETOP",VLOOKUP(B4971,#REF!,2,0),IF(A4971="COTAÇÃO",VLOOKUP(B4971,'Mapa Cotações'!$A:$N,2,0)))))),(IF(A4971="SINAPI",VLOOKUP(B4971,#REF!,2,0),IF(A4971="SUDECAP",VLOOKUP(B4971,#REF!,3,0),IF(A4971="SETOP",VLOOKUP(B4971,#REF!,2,0),IF(A4971="COTAÇÃO",VLOOKUP(B4971,'Mapa Cotações'!$A:$N,2,0))))))))</f>
        <v>Kit Porta de madeira 210x2,0m</v>
      </c>
      <c r="D4971" s="89" t="str">
        <f>IF(B4971="","",IF($A$8="NÃO DESONERADO",(IF(A4971="SINAPI",VLOOKUP(B4971,#REF!,3,0),IF(A4971="SUDECAP",VLOOKUP(B4971,#REF!,4,0),IF(A4971="SETOP",VLOOKUP(B4971,#REF!,3,0),IF(A4971="COTAÇÃO",VLOOKUP(B4971,'Mapa Cotações'!$A:$N,3,0)))))),(IF(A4971="SINAPI",VLOOKUP(B4971,#REF!,3,0),IF(A4971="SUDECAP",VLOOKUP(B4971,#REF!,4,0),IF(A4971="SETOP",VLOOKUP(B4971,#REF!,3,0),IF(A4971="COTAÇÃO",VLOOKUP(B4971,'Mapa Cotações'!$A:$N,3,0))))))))</f>
        <v>UN</v>
      </c>
      <c r="E4971" s="88">
        <v>1</v>
      </c>
      <c r="F4971" s="89">
        <f>IF(B4971="","",IF($A$8="NÃO DESONERADO",(IF(A4971="SINAPI",VLOOKUP(B4971,#REF!,4,0),IF(A4971="SUDECAP",VLOOKUP(B4971,#REF!,5,0),IF(A4971="SETOP",VLOOKUP(B4971,#REF!,4,0),IF(A4971="COTAÇÃO",VLOOKUP(B4971,'Mapa Cotações'!$A:$N,13,0)))))),(IF(A4971="SINAPI",VLOOKUP(B4971,#REF!,4,0),IF(A4971="SUDECAP",VLOOKUP(B4971,#REF!,5,0),IF(A4971="SETOP",VLOOKUP(B4971,#REF!,4,0),IF(A4971="COTAÇÃO",VLOOKUP(B4971,'Mapa Cotações'!$A:$N,13,0))))))))</f>
        <v>6050</v>
      </c>
      <c r="G4971" s="89">
        <f>IF(D4971="","",E4971*F4971)</f>
        <v>6050</v>
      </c>
    </row>
    <row r="4972" spans="1:11">
      <c r="A4972" s="87"/>
      <c r="B4972" s="87"/>
      <c r="C4972" s="278" t="str">
        <f>IF(B4972="","",IF($A$8="NÃO DESONERADO",(IF(A4972="SINAPI",VLOOKUP(B4972,#REF!,2,0),IF(A4972="SUDECAP",VLOOKUP(B4972,#REF!,3,0),IF(A4972="SETOP",VLOOKUP(B4972,#REF!,2,0),IF(A4972="COTAÇÃO",VLOOKUP(B4972,'Mapa Cotações'!$A:$N,2,0)))))),(IF(A4972="SINAPI",VLOOKUP(B4972,#REF!,2,0),IF(A4972="SUDECAP",VLOOKUP(B4972,#REF!,3,0),IF(A4972="SETOP",VLOOKUP(B4972,#REF!,2,0),IF(A4972="COTAÇÃO",VLOOKUP(B4972,'Mapa Cotações'!$A:$N,2,0))))))))</f>
        <v/>
      </c>
      <c r="D4972" s="89" t="str">
        <f>IF(B4972="","",IF($A$8="NÃO DESONERADO",(IF(A4972="SINAPI",VLOOKUP(B4972,#REF!,3,0),IF(A4972="SUDECAP",VLOOKUP(B4972,#REF!,4,0),IF(A4972="SETOP",VLOOKUP(B4972,#REF!,3,0),IF(A4972="COTAÇÃO",VLOOKUP(B4972,'Mapa Cotações'!$A:$N,3,0)))))),(IF(A4972="SINAPI",VLOOKUP(B4972,#REF!,3,0),IF(A4972="SUDECAP",VLOOKUP(B4972,#REF!,4,0),IF(A4972="SETOP",VLOOKUP(B4972,#REF!,3,0),IF(A4972="COTAÇÃO",VLOOKUP(B4972,'Mapa Cotações'!$A:$N,3,0))))))))</f>
        <v/>
      </c>
      <c r="E4972" s="88"/>
      <c r="F4972" s="89" t="str">
        <f>IF(B4972="","",IF($A$8="NÃO DESONERADO",(IF(A4972="SINAPI",VLOOKUP(B4972,#REF!,4,0),IF(A4972="SUDECAP",VLOOKUP(B4972,#REF!,5,0),IF(A4972="SETOP",VLOOKUP(B4972,#REF!,4,0),IF(A4972="COTAÇÃO",VLOOKUP(B4972,'Mapa Cotações'!$A:$N,13,0)))))),(IF(A4972="SINAPI",VLOOKUP(B4972,#REF!,4,0),IF(A4972="SUDECAP",VLOOKUP(B4972,#REF!,5,0),IF(A4972="SETOP",VLOOKUP(B4972,#REF!,4,0),IF(A4972="COTAÇÃO",VLOOKUP(B4972,'Mapa Cotações'!$A:$N,13,0))))))))</f>
        <v/>
      </c>
      <c r="G4972" s="89" t="str">
        <f>IF(D4972="","",E4972*F4972)</f>
        <v/>
      </c>
    </row>
    <row r="4973" spans="1:11">
      <c r="A4973" s="832" t="s">
        <v>1908</v>
      </c>
      <c r="B4973" s="833"/>
      <c r="C4973" s="833"/>
      <c r="D4973" s="833"/>
      <c r="E4973" s="833"/>
      <c r="F4973" s="834"/>
      <c r="G4973" s="90">
        <f>IF(F4971="","",(SUM(G4971:G4972)))</f>
        <v>6050</v>
      </c>
    </row>
    <row r="4974" spans="1:11">
      <c r="A4974" s="91"/>
      <c r="B4974" s="92"/>
      <c r="C4974" s="161"/>
      <c r="D4974" s="93"/>
      <c r="E4974" s="94"/>
      <c r="F4974" s="95"/>
      <c r="G4974" s="96"/>
    </row>
    <row r="4975" spans="1:11">
      <c r="A4975" s="835" t="s">
        <v>1909</v>
      </c>
      <c r="B4975" s="836"/>
      <c r="C4975" s="836"/>
      <c r="D4975" s="836"/>
      <c r="E4975" s="836"/>
      <c r="F4975" s="836"/>
      <c r="G4975" s="837"/>
    </row>
    <row r="4976" spans="1:11">
      <c r="A4976" s="84" t="s">
        <v>1903</v>
      </c>
      <c r="B4976" s="84" t="s">
        <v>131</v>
      </c>
      <c r="C4976" s="160" t="s">
        <v>1904</v>
      </c>
      <c r="D4976" s="84" t="s">
        <v>167</v>
      </c>
      <c r="E4976" s="85" t="s">
        <v>1905</v>
      </c>
      <c r="F4976" s="86" t="s">
        <v>1906</v>
      </c>
      <c r="G4976" s="86" t="s">
        <v>1907</v>
      </c>
    </row>
    <row r="4977" spans="1:11" ht="24">
      <c r="A4977" s="87" t="s">
        <v>2</v>
      </c>
      <c r="B4977" s="87" t="s">
        <v>2186</v>
      </c>
      <c r="C4977" s="278" t="s">
        <v>2116</v>
      </c>
      <c r="D4977" s="89" t="s">
        <v>137</v>
      </c>
      <c r="E4977" s="88" t="s">
        <v>2187</v>
      </c>
      <c r="F4977" s="89" t="s">
        <v>2188</v>
      </c>
      <c r="G4977" s="89">
        <f>IF(D4977="","",E4977*F4977)</f>
        <v>10.25145</v>
      </c>
    </row>
    <row r="4978" spans="1:11">
      <c r="A4978" s="87" t="s">
        <v>2</v>
      </c>
      <c r="B4978" s="87" t="s">
        <v>2189</v>
      </c>
      <c r="C4978" s="278" t="s">
        <v>2190</v>
      </c>
      <c r="D4978" s="89" t="s">
        <v>137</v>
      </c>
      <c r="E4978" s="88" t="s">
        <v>2191</v>
      </c>
      <c r="F4978" s="89" t="s">
        <v>2192</v>
      </c>
      <c r="G4978" s="89">
        <f>IF(D4978="","",E4978*F4978)</f>
        <v>56.9756</v>
      </c>
    </row>
    <row r="4979" spans="1:11">
      <c r="A4979" s="87" t="s">
        <v>2</v>
      </c>
      <c r="B4979" s="87" t="s">
        <v>2193</v>
      </c>
      <c r="C4979" s="278" t="s">
        <v>1922</v>
      </c>
      <c r="D4979" s="89" t="s">
        <v>137</v>
      </c>
      <c r="E4979" s="88" t="s">
        <v>2194</v>
      </c>
      <c r="F4979" s="89" t="s">
        <v>2195</v>
      </c>
      <c r="G4979" s="89">
        <f>IF(D4979="","",E4979*F4979)</f>
        <v>24.00216</v>
      </c>
    </row>
    <row r="4980" spans="1:11">
      <c r="A4980" s="832" t="s">
        <v>1908</v>
      </c>
      <c r="B4980" s="833"/>
      <c r="C4980" s="833"/>
      <c r="D4980" s="833"/>
      <c r="E4980" s="833"/>
      <c r="F4980" s="834"/>
      <c r="G4980" s="90">
        <f>IF(F4977="","",(SUM(G4977:G4979)))</f>
        <v>91.229210000000009</v>
      </c>
    </row>
    <row r="4981" spans="1:11">
      <c r="A4981" s="91"/>
      <c r="B4981" s="92"/>
      <c r="C4981" s="162"/>
      <c r="D4981" s="92"/>
      <c r="E4981" s="97"/>
      <c r="F4981" s="98"/>
      <c r="G4981" s="96"/>
    </row>
    <row r="4982" spans="1:11">
      <c r="A4982" s="835" t="s">
        <v>1912</v>
      </c>
      <c r="B4982" s="836"/>
      <c r="C4982" s="836"/>
      <c r="D4982" s="836"/>
      <c r="E4982" s="836"/>
      <c r="F4982" s="836"/>
      <c r="G4982" s="837"/>
    </row>
    <row r="4983" spans="1:11">
      <c r="A4983" s="84" t="s">
        <v>1903</v>
      </c>
      <c r="B4983" s="84" t="s">
        <v>131</v>
      </c>
      <c r="C4983" s="160" t="s">
        <v>1904</v>
      </c>
      <c r="D4983" s="84" t="s">
        <v>167</v>
      </c>
      <c r="E4983" s="85" t="s">
        <v>1905</v>
      </c>
      <c r="F4983" s="86" t="s">
        <v>1906</v>
      </c>
      <c r="G4983" s="86" t="s">
        <v>1907</v>
      </c>
    </row>
    <row r="4984" spans="1:11" ht="15">
      <c r="A4984" s="87" t="s">
        <v>2</v>
      </c>
      <c r="B4984" s="87" t="s">
        <v>2196</v>
      </c>
      <c r="C4984" t="s">
        <v>2197</v>
      </c>
      <c r="D4984" s="89" t="s">
        <v>2198</v>
      </c>
      <c r="E4984" s="88" t="s">
        <v>2199</v>
      </c>
      <c r="F4984" s="89" t="s">
        <v>2200</v>
      </c>
      <c r="G4984" s="89">
        <f>IF(D4984="","",E4984*F4984)</f>
        <v>15.245446000000001</v>
      </c>
    </row>
    <row r="4985" spans="1:11">
      <c r="A4985" s="87"/>
      <c r="B4985" s="87"/>
      <c r="C4985" s="278" t="str">
        <f>IF(B4985="","",IF($A$8="NÃO DESONERADO",(IF(A4985="SINAPI",VLOOKUP(B4985,#REF!,2,0),IF(A4985="SUDECAP",VLOOKUP(B4985,#REF!,3,0),IF(A4985="SETOP",VLOOKUP(B4985,#REF!,2,0),IF(A4985="COTAÇÃO",VLOOKUP(B4985,'Mapa Cotações'!$A:$N,2,0)))))),(IF(A4985="SINAPI",VLOOKUP(B4985,#REF!,2,0),IF(A4985="SUDECAP",VLOOKUP(B4985,#REF!,3,0),IF(A4985="SETOP",VLOOKUP(B4985,#REF!,2,0),IF(A4985="COTAÇÃO",VLOOKUP(B4985,'Mapa Cotações'!$A:$N,2,0))))))))</f>
        <v/>
      </c>
      <c r="D4985" s="89" t="str">
        <f>IF(B4985="","",IF($A$8="NÃO DESONERADO",(IF(A4985="SINAPI",VLOOKUP(B4985,#REF!,3,0),IF(A4985="SUDECAP",VLOOKUP(B4985,#REF!,4,0),IF(A4985="SETOP",VLOOKUP(B4985,#REF!,3,0),IF(A4985="COTAÇÃO",VLOOKUP(B4985,'Mapa Cotações'!$A:$N,3,0)))))),(IF(A4985="SINAPI",VLOOKUP(B4985,#REF!,3,0),IF(A4985="SUDECAP",VLOOKUP(B4985,#REF!,4,0),IF(A4985="SETOP",VLOOKUP(B4985,#REF!,3,0),IF(A4985="COTAÇÃO",VLOOKUP(B4985,'Mapa Cotações'!$A:$N,3,0))))))))</f>
        <v/>
      </c>
      <c r="E4985" s="88"/>
      <c r="F4985" s="89" t="str">
        <f>IF(B4985="","",IF($A$8="NÃO DESONERADO",(IF(A4985="SINAPI",VLOOKUP(B4985,#REF!,4,0),IF(A4985="SUDECAP",VLOOKUP(B4985,#REF!,5,0),IF(A4985="SETOP",VLOOKUP(B4985,#REF!,4,0),IF(A4985="COTAÇÃO",VLOOKUP(B4985,'Mapa Cotações'!$A:$N,13,0)))))),(IF(A4985="SINAPI",VLOOKUP(B4985,#REF!,4,0),IF(A4985="SUDECAP",VLOOKUP(B4985,#REF!,5,0),IF(A4985="SETOP",VLOOKUP(B4985,#REF!,4,0),IF(A4985="COTAÇÃO",VLOOKUP(B4985,'Mapa Cotações'!$A:$N,13,0))))))))</f>
        <v/>
      </c>
      <c r="G4985" s="89" t="str">
        <f>IF(D4985="","",E4985*F4985)</f>
        <v/>
      </c>
    </row>
    <row r="4986" spans="1:11">
      <c r="A4986" s="832" t="s">
        <v>1908</v>
      </c>
      <c r="B4986" s="833" t="s">
        <v>1908</v>
      </c>
      <c r="C4986" s="833"/>
      <c r="D4986" s="833"/>
      <c r="E4986" s="833"/>
      <c r="F4986" s="834"/>
      <c r="G4986" s="90">
        <f>IF(F4984="","",(SUM(G4984:G4985)))</f>
        <v>15.245446000000001</v>
      </c>
    </row>
    <row r="4987" spans="1:11" ht="13.5" thickBot="1">
      <c r="A4987" s="91"/>
      <c r="B4987" s="92"/>
      <c r="C4987" s="163"/>
      <c r="D4987" s="99"/>
      <c r="E4987" s="100"/>
      <c r="F4987" s="101"/>
      <c r="G4987" s="102"/>
    </row>
    <row r="4988" spans="1:11" ht="13.5" thickBot="1">
      <c r="A4988" s="838" t="s">
        <v>1259</v>
      </c>
      <c r="B4988" s="839"/>
      <c r="C4988" s="839"/>
      <c r="D4988" s="839"/>
      <c r="E4988" s="839"/>
      <c r="F4988" s="840"/>
      <c r="G4988" s="103">
        <f>SUM(G4973,G4980,G4986)</f>
        <v>6156.4746560000003</v>
      </c>
    </row>
    <row r="4991" spans="1:11">
      <c r="A4991" s="237" t="s">
        <v>131</v>
      </c>
      <c r="B4991" s="190" t="s">
        <v>27</v>
      </c>
      <c r="C4991" s="841" t="s">
        <v>1281</v>
      </c>
      <c r="D4991" s="841"/>
      <c r="E4991" s="841"/>
      <c r="F4991" s="841"/>
      <c r="G4991" s="81" t="s">
        <v>127</v>
      </c>
      <c r="I4991" s="480" t="s">
        <v>1901</v>
      </c>
      <c r="J4991" s="80"/>
      <c r="K4991" s="80"/>
    </row>
    <row r="4992" spans="1:11" ht="50.1" customHeight="1">
      <c r="A4992" s="179" t="s">
        <v>794</v>
      </c>
      <c r="B4992" s="82"/>
      <c r="C4992" s="830" t="s">
        <v>795</v>
      </c>
      <c r="D4992" s="831"/>
      <c r="E4992" s="831"/>
      <c r="F4992" s="186">
        <f>G5013</f>
        <v>706.18000000000006</v>
      </c>
      <c r="G4992" s="83" t="s">
        <v>150</v>
      </c>
      <c r="I4992" s="481"/>
      <c r="J4992" s="272"/>
      <c r="K4992" s="272"/>
    </row>
    <row r="4993" spans="1:7">
      <c r="A4993" s="818" t="s">
        <v>1902</v>
      </c>
      <c r="B4993" s="819"/>
      <c r="C4993" s="819"/>
      <c r="D4993" s="819"/>
      <c r="E4993" s="819"/>
      <c r="F4993" s="819"/>
      <c r="G4993" s="820"/>
    </row>
    <row r="4994" spans="1:7">
      <c r="A4994" s="84" t="s">
        <v>1903</v>
      </c>
      <c r="B4994" s="84" t="s">
        <v>131</v>
      </c>
      <c r="C4994" s="160" t="s">
        <v>1904</v>
      </c>
      <c r="D4994" s="84" t="s">
        <v>167</v>
      </c>
      <c r="E4994" s="85" t="s">
        <v>1905</v>
      </c>
      <c r="F4994" s="86" t="s">
        <v>1906</v>
      </c>
      <c r="G4994" s="86" t="s">
        <v>1907</v>
      </c>
    </row>
    <row r="4995" spans="1:7">
      <c r="A4995" s="87"/>
      <c r="B4995" s="87"/>
      <c r="C4995" s="278" t="str">
        <f>IF(B4995="","",IF($A$8="NÃO DESONERADO",(IF(A4995="SINAPI",VLOOKUP(B4995,#REF!,2,0),IF(A4995="SUDECAP",VLOOKUP(B4995,#REF!,3,0),IF(A4995="SETOP",VLOOKUP(B4995,#REF!,2,0),IF(A4995="COTAÇÃO",VLOOKUP(B4995,'Mapa Cotações'!$A:$N,2,0)))))),(IF(A4995="SINAPI",VLOOKUP(B4995,#REF!,2,0),IF(A4995="SUDECAP",VLOOKUP(B4995,#REF!,3,0),IF(A4995="SETOP",VLOOKUP(B4995,#REF!,2,0),IF(A4995="COTAÇÃO",VLOOKUP(B4995,'Mapa Cotações'!$A:$N,2,0))))))))</f>
        <v/>
      </c>
      <c r="D4995" s="89" t="str">
        <f>IF(B4995="","",IF($A$8="NÃO DESONERADO",(IF(A4995="SINAPI",VLOOKUP(B4995,#REF!,3,0),IF(A4995="SUDECAP",VLOOKUP(B4995,#REF!,4,0),IF(A4995="SETOP",VLOOKUP(B4995,#REF!,3,0),IF(A4995="COTAÇÃO",VLOOKUP(B4995,'Mapa Cotações'!$A:$N,3,0)))))),(IF(A4995="SINAPI",VLOOKUP(B4995,#REF!,3,0),IF(A4995="SUDECAP",VLOOKUP(B4995,#REF!,4,0),IF(A4995="SETOP",VLOOKUP(B4995,#REF!,3,0),IF(A4995="COTAÇÃO",VLOOKUP(B4995,'Mapa Cotações'!$A:$N,3,0))))))))</f>
        <v/>
      </c>
      <c r="E4995" s="88"/>
      <c r="F4995" s="89" t="str">
        <f>IF(B4995="","",IF($A$8="NÃO DESONERADO",(IF(A4995="SINAPI",VLOOKUP(B4995,#REF!,4,0),IF(A4995="SUDECAP",VLOOKUP(B4995,#REF!,5,0),IF(A4995="SETOP",VLOOKUP(B4995,#REF!,4,0),IF(A4995="COTAÇÃO",VLOOKUP(B4995,'Mapa Cotações'!$A:$N,13,0)))))),(IF(A4995="SINAPI",VLOOKUP(B4995,#REF!,4,0),IF(A4995="SUDECAP",VLOOKUP(B4995,#REF!,5,0),IF(A4995="SETOP",VLOOKUP(B4995,#REF!,4,0),IF(A4995="COTAÇÃO",VLOOKUP(B4995,'Mapa Cotações'!$A:$N,13,0))))))))</f>
        <v/>
      </c>
      <c r="G4995" s="89" t="str">
        <f>IF(D4995="","",E4995*F4995)</f>
        <v/>
      </c>
    </row>
    <row r="4996" spans="1:7">
      <c r="A4996" s="87"/>
      <c r="B4996" s="87"/>
      <c r="C4996" s="278" t="str">
        <f>IF(B4996="","",IF($A$8="NÃO DESONERADO",(IF(A4996="SINAPI",VLOOKUP(B4996,#REF!,2,0),IF(A4996="SUDECAP",VLOOKUP(B4996,#REF!,3,0),IF(A4996="SETOP",VLOOKUP(B4996,#REF!,2,0),IF(A4996="COTAÇÃO",VLOOKUP(B4996,'Mapa Cotações'!$A:$N,2,0)))))),(IF(A4996="SINAPI",VLOOKUP(B4996,#REF!,2,0),IF(A4996="SUDECAP",VLOOKUP(B4996,#REF!,3,0),IF(A4996="SETOP",VLOOKUP(B4996,#REF!,2,0),IF(A4996="COTAÇÃO",VLOOKUP(B4996,'Mapa Cotações'!$A:$N,2,0))))))))</f>
        <v/>
      </c>
      <c r="D4996" s="89" t="str">
        <f>IF(B4996="","",IF($A$8="NÃO DESONERADO",(IF(A4996="SINAPI",VLOOKUP(B4996,#REF!,3,0),IF(A4996="SUDECAP",VLOOKUP(B4996,#REF!,4,0),IF(A4996="SETOP",VLOOKUP(B4996,#REF!,3,0),IF(A4996="COTAÇÃO",VLOOKUP(B4996,'Mapa Cotações'!$A:$N,3,0)))))),(IF(A4996="SINAPI",VLOOKUP(B4996,#REF!,3,0),IF(A4996="SUDECAP",VLOOKUP(B4996,#REF!,4,0),IF(A4996="SETOP",VLOOKUP(B4996,#REF!,3,0),IF(A4996="COTAÇÃO",VLOOKUP(B4996,'Mapa Cotações'!$A:$N,3,0))))))))</f>
        <v/>
      </c>
      <c r="E4996" s="88"/>
      <c r="F4996" s="89" t="str">
        <f>IF(B4996="","",IF($A$8="NÃO DESONERADO",(IF(A4996="SINAPI",VLOOKUP(B4996,#REF!,4,0),IF(A4996="SUDECAP",VLOOKUP(B4996,#REF!,5,0),IF(A4996="SETOP",VLOOKUP(B4996,#REF!,4,0),IF(A4996="COTAÇÃO",VLOOKUP(B4996,'Mapa Cotações'!$A:$N,13,0)))))),(IF(A4996="SINAPI",VLOOKUP(B4996,#REF!,4,0),IF(A4996="SUDECAP",VLOOKUP(B4996,#REF!,5,0),IF(A4996="SETOP",VLOOKUP(B4996,#REF!,4,0),IF(A4996="COTAÇÃO",VLOOKUP(B4996,'Mapa Cotações'!$A:$N,13,0))))))))</f>
        <v/>
      </c>
      <c r="G4996" s="89" t="str">
        <f>IF(D4996="","",E4996*F4996)</f>
        <v/>
      </c>
    </row>
    <row r="4997" spans="1:7">
      <c r="A4997" s="832" t="s">
        <v>1908</v>
      </c>
      <c r="B4997" s="833"/>
      <c r="C4997" s="833"/>
      <c r="D4997" s="833"/>
      <c r="E4997" s="833"/>
      <c r="F4997" s="834"/>
      <c r="G4997" s="90" t="str">
        <f>IF(F4995="","",(SUM(G4995:G4996)))</f>
        <v/>
      </c>
    </row>
    <row r="4998" spans="1:7">
      <c r="A4998" s="91"/>
      <c r="B4998" s="92"/>
      <c r="C4998" s="161"/>
      <c r="D4998" s="93"/>
      <c r="E4998" s="94"/>
      <c r="F4998" s="95"/>
      <c r="G4998" s="96"/>
    </row>
    <row r="4999" spans="1:7">
      <c r="A4999" s="835" t="s">
        <v>1909</v>
      </c>
      <c r="B4999" s="836"/>
      <c r="C4999" s="836"/>
      <c r="D4999" s="836"/>
      <c r="E4999" s="836"/>
      <c r="F4999" s="836"/>
      <c r="G4999" s="837"/>
    </row>
    <row r="5000" spans="1:7">
      <c r="A5000" s="84" t="s">
        <v>1903</v>
      </c>
      <c r="B5000" s="84" t="s">
        <v>131</v>
      </c>
      <c r="C5000" s="160" t="s">
        <v>1904</v>
      </c>
      <c r="D5000" s="84" t="s">
        <v>167</v>
      </c>
      <c r="E5000" s="85" t="s">
        <v>1905</v>
      </c>
      <c r="F5000" s="86" t="s">
        <v>1906</v>
      </c>
      <c r="G5000" s="86" t="s">
        <v>1907</v>
      </c>
    </row>
    <row r="5001" spans="1:7">
      <c r="A5001" s="87"/>
      <c r="B5001" s="87"/>
      <c r="C5001" s="278" t="str">
        <f>IF(B5001="","",IF($A$8="NÃO DESONERADO",(IF(A5001="SINAPI",VLOOKUP(B5001,#REF!,2,0),IF(A5001="SUDECAP",VLOOKUP(B5001,#REF!,3,0),IF(A5001="SETOP",VLOOKUP(B5001,#REF!,2,0),IF(A5001="COTAÇÃO",VLOOKUP(B5001,'Mapa Cotações'!$A:$N,2,0)))))),(IF(A5001="SINAPI",VLOOKUP(B5001,#REF!,2,0),IF(A5001="SUDECAP",VLOOKUP(B5001,#REF!,3,0),IF(A5001="SETOP",VLOOKUP(B5001,#REF!,2,0),IF(A5001="COTAÇÃO",VLOOKUP(B5001,'Mapa Cotações'!$A:$N,2,0))))))))</f>
        <v/>
      </c>
      <c r="D5001" s="89" t="str">
        <f>IF(B5001="","",IF($A$8="NÃO DESONERADO",(IF(A5001="SINAPI",VLOOKUP(B5001,#REF!,3,0),IF(A5001="SUDECAP",VLOOKUP(B5001,#REF!,4,0),IF(A5001="SETOP",VLOOKUP(B5001,#REF!,3,0),IF(A5001="COTAÇÃO",VLOOKUP(B5001,'Mapa Cotações'!$A:$N,3,0)))))),(IF(A5001="SINAPI",VLOOKUP(B5001,#REF!,3,0),IF(A5001="SUDECAP",VLOOKUP(B5001,#REF!,4,0),IF(A5001="SETOP",VLOOKUP(B5001,#REF!,3,0),IF(A5001="COTAÇÃO",VLOOKUP(B5001,'Mapa Cotações'!$A:$N,3,0))))))))</f>
        <v/>
      </c>
      <c r="E5001" s="88"/>
      <c r="F5001" s="89" t="str">
        <f>IF(B5001="","",IF($A$8="NÃO DESONERADO",(IF(A5001="SINAPI",VLOOKUP(B5001,#REF!,4,0),IF(A5001="SUDECAP",VLOOKUP(B5001,#REF!,5,0),IF(A5001="SETOP",VLOOKUP(B5001,#REF!,4,0),IF(A5001="COTAÇÃO",VLOOKUP(B5001,'Mapa Cotações'!$A:$N,13,0)))))),(IF(A5001="SINAPI",VLOOKUP(B5001,#REF!,4,0),IF(A5001="SUDECAP",VLOOKUP(B5001,#REF!,5,0),IF(A5001="SETOP",VLOOKUP(B5001,#REF!,4,0),IF(A5001="COTAÇÃO",VLOOKUP(B5001,'Mapa Cotações'!$A:$N,13,0))))))))</f>
        <v/>
      </c>
      <c r="G5001" s="89" t="str">
        <f>IF(D5001="","",E5001*F5001)</f>
        <v/>
      </c>
    </row>
    <row r="5002" spans="1:7">
      <c r="A5002" s="87"/>
      <c r="B5002" s="87"/>
      <c r="C5002" s="278" t="str">
        <f>IF(B5002="","",IF($A$8="NÃO DESONERADO",(IF(A5002="SINAPI",VLOOKUP(B5002,#REF!,2,0),IF(A5002="SUDECAP",VLOOKUP(B5002,#REF!,3,0),IF(A5002="SETOP",VLOOKUP(B5002,#REF!,2,0),IF(A5002="COTAÇÃO",VLOOKUP(B5002,'Mapa Cotações'!$A:$N,2,0)))))),(IF(A5002="SINAPI",VLOOKUP(B5002,#REF!,2,0),IF(A5002="SUDECAP",VLOOKUP(B5002,#REF!,3,0),IF(A5002="SETOP",VLOOKUP(B5002,#REF!,2,0),IF(A5002="COTAÇÃO",VLOOKUP(B5002,'Mapa Cotações'!$A:$N,2,0))))))))</f>
        <v/>
      </c>
      <c r="D5002" s="89" t="str">
        <f>IF(B5002="","",IF($A$8="NÃO DESONERADO",(IF(A5002="SINAPI",VLOOKUP(B5002,#REF!,3,0),IF(A5002="SUDECAP",VLOOKUP(B5002,#REF!,4,0),IF(A5002="SETOP",VLOOKUP(B5002,#REF!,3,0),IF(A5002="COTAÇÃO",VLOOKUP(B5002,'Mapa Cotações'!$A:$N,3,0)))))),(IF(A5002="SINAPI",VLOOKUP(B5002,#REF!,3,0),IF(A5002="SUDECAP",VLOOKUP(B5002,#REF!,4,0),IF(A5002="SETOP",VLOOKUP(B5002,#REF!,3,0),IF(A5002="COTAÇÃO",VLOOKUP(B5002,'Mapa Cotações'!$A:$N,3,0))))))))</f>
        <v/>
      </c>
      <c r="E5002" s="88"/>
      <c r="F5002" s="89" t="str">
        <f>IF(B5002="","",IF($A$8="NÃO DESONERADO",(IF(A5002="SINAPI",VLOOKUP(B5002,#REF!,4,0),IF(A5002="SUDECAP",VLOOKUP(B5002,#REF!,5,0),IF(A5002="SETOP",VLOOKUP(B5002,#REF!,4,0),IF(A5002="COTAÇÃO",VLOOKUP(B5002,'Mapa Cotações'!$A:$N,13,0)))))),(IF(A5002="SINAPI",VLOOKUP(B5002,#REF!,4,0),IF(A5002="SUDECAP",VLOOKUP(B5002,#REF!,5,0),IF(A5002="SETOP",VLOOKUP(B5002,#REF!,4,0),IF(A5002="COTAÇÃO",VLOOKUP(B5002,'Mapa Cotações'!$A:$N,13,0))))))))</f>
        <v/>
      </c>
      <c r="G5002" s="89" t="str">
        <f>IF(D5002="","",E5002*F5002)</f>
        <v/>
      </c>
    </row>
    <row r="5003" spans="1:7">
      <c r="A5003" s="832" t="s">
        <v>1908</v>
      </c>
      <c r="B5003" s="833"/>
      <c r="C5003" s="833"/>
      <c r="D5003" s="833"/>
      <c r="E5003" s="833"/>
      <c r="F5003" s="834"/>
      <c r="G5003" s="90" t="str">
        <f>IF(F5001="","",(SUM(G5001:G5002)))</f>
        <v/>
      </c>
    </row>
    <row r="5004" spans="1:7">
      <c r="A5004" s="91"/>
      <c r="B5004" s="92"/>
      <c r="C5004" s="162"/>
      <c r="D5004" s="92"/>
      <c r="E5004" s="97"/>
      <c r="F5004" s="98"/>
      <c r="G5004" s="96"/>
    </row>
    <row r="5005" spans="1:7">
      <c r="A5005" s="835" t="s">
        <v>1912</v>
      </c>
      <c r="B5005" s="836"/>
      <c r="C5005" s="836"/>
      <c r="D5005" s="836"/>
      <c r="E5005" s="836"/>
      <c r="F5005" s="836"/>
      <c r="G5005" s="837"/>
    </row>
    <row r="5006" spans="1:7">
      <c r="A5006" s="84" t="s">
        <v>1903</v>
      </c>
      <c r="B5006" s="84" t="s">
        <v>131</v>
      </c>
      <c r="C5006" s="160" t="s">
        <v>1904</v>
      </c>
      <c r="D5006" s="84" t="s">
        <v>167</v>
      </c>
      <c r="E5006" s="85" t="s">
        <v>1905</v>
      </c>
      <c r="F5006" s="86" t="s">
        <v>1906</v>
      </c>
      <c r="G5006" s="86" t="s">
        <v>1907</v>
      </c>
    </row>
    <row r="5007" spans="1:7" ht="48">
      <c r="A5007" s="87" t="s">
        <v>3</v>
      </c>
      <c r="B5007" s="87" t="s">
        <v>2201</v>
      </c>
      <c r="C5007" s="278" t="s">
        <v>2202</v>
      </c>
      <c r="D5007" s="89" t="s">
        <v>2184</v>
      </c>
      <c r="E5007" s="88">
        <v>1</v>
      </c>
      <c r="F5007" s="89">
        <v>17.55</v>
      </c>
      <c r="G5007" s="89">
        <f>IF(D5007="","",E5007*F5007)</f>
        <v>17.55</v>
      </c>
    </row>
    <row r="5008" spans="1:7" ht="36">
      <c r="A5008" s="87" t="s">
        <v>2</v>
      </c>
      <c r="B5008" s="87">
        <v>98547</v>
      </c>
      <c r="C5008" s="278" t="s">
        <v>2203</v>
      </c>
      <c r="D5008" s="89" t="s">
        <v>2184</v>
      </c>
      <c r="E5008" s="88">
        <f>1+(0.4*4)</f>
        <v>2.6</v>
      </c>
      <c r="F5008" s="89">
        <v>187.68</v>
      </c>
      <c r="G5008" s="89">
        <f t="shared" ref="G5008:G5009" si="61">IF(D5008="","",E5008*F5008)</f>
        <v>487.96800000000002</v>
      </c>
    </row>
    <row r="5009" spans="1:11" ht="36">
      <c r="A5009" s="87" t="s">
        <v>3</v>
      </c>
      <c r="B5009" s="87" t="s">
        <v>2204</v>
      </c>
      <c r="C5009" s="278" t="s">
        <v>2205</v>
      </c>
      <c r="D5009" s="89" t="s">
        <v>2184</v>
      </c>
      <c r="E5009" s="88">
        <v>1</v>
      </c>
      <c r="F5009" s="89">
        <v>43.45</v>
      </c>
      <c r="G5009" s="89">
        <f t="shared" si="61"/>
        <v>43.45</v>
      </c>
    </row>
    <row r="5010" spans="1:11" ht="36">
      <c r="A5010" s="87" t="s">
        <v>2</v>
      </c>
      <c r="B5010" s="87">
        <v>87263</v>
      </c>
      <c r="C5010" s="278" t="s">
        <v>2206</v>
      </c>
      <c r="D5010" s="89" t="s">
        <v>2184</v>
      </c>
      <c r="E5010" s="88">
        <v>1.1000000000000001</v>
      </c>
      <c r="F5010" s="89">
        <v>142.91999999999999</v>
      </c>
      <c r="G5010" s="89">
        <f>IF(D5010="","",E5010*F5010)</f>
        <v>157.21199999999999</v>
      </c>
    </row>
    <row r="5011" spans="1:11">
      <c r="A5011" s="832" t="s">
        <v>1908</v>
      </c>
      <c r="B5011" s="833" t="s">
        <v>1908</v>
      </c>
      <c r="C5011" s="833"/>
      <c r="D5011" s="833"/>
      <c r="E5011" s="833"/>
      <c r="F5011" s="834"/>
      <c r="G5011" s="90">
        <f>IF(F5007="","",(SUM(G5007:G5010)))</f>
        <v>706.18000000000006</v>
      </c>
    </row>
    <row r="5012" spans="1:11" ht="13.5" thickBot="1">
      <c r="A5012" s="91"/>
      <c r="B5012" s="92"/>
      <c r="C5012" s="163"/>
      <c r="D5012" s="99"/>
      <c r="E5012" s="100"/>
      <c r="F5012" s="101"/>
      <c r="G5012" s="102"/>
    </row>
    <row r="5013" spans="1:11" ht="13.5" thickBot="1">
      <c r="A5013" s="838" t="s">
        <v>1259</v>
      </c>
      <c r="B5013" s="839"/>
      <c r="C5013" s="839"/>
      <c r="D5013" s="839"/>
      <c r="E5013" s="839"/>
      <c r="F5013" s="840"/>
      <c r="G5013" s="103">
        <f>SUM(G4997,G5003,G5011)</f>
        <v>706.18000000000006</v>
      </c>
    </row>
    <row r="5016" spans="1:11">
      <c r="A5016" s="237" t="s">
        <v>131</v>
      </c>
      <c r="B5016" s="190" t="s">
        <v>27</v>
      </c>
      <c r="C5016" s="841" t="s">
        <v>1281</v>
      </c>
      <c r="D5016" s="841"/>
      <c r="E5016" s="841"/>
      <c r="F5016" s="841"/>
      <c r="G5016" s="81" t="s">
        <v>127</v>
      </c>
      <c r="I5016" s="480" t="s">
        <v>1901</v>
      </c>
      <c r="J5016" s="80"/>
      <c r="K5016" s="80"/>
    </row>
    <row r="5017" spans="1:11" ht="50.1" customHeight="1">
      <c r="A5017" s="179" t="s">
        <v>767</v>
      </c>
      <c r="B5017" s="82"/>
      <c r="C5017" s="830" t="s">
        <v>768</v>
      </c>
      <c r="D5017" s="831"/>
      <c r="E5017" s="831"/>
      <c r="F5017" s="186">
        <f>G5036</f>
        <v>65.016000000000005</v>
      </c>
      <c r="G5017" s="83" t="s">
        <v>150</v>
      </c>
      <c r="I5017" s="481"/>
      <c r="J5017" s="272"/>
      <c r="K5017" s="272"/>
    </row>
    <row r="5018" spans="1:11">
      <c r="A5018" s="818" t="s">
        <v>1902</v>
      </c>
      <c r="B5018" s="819"/>
      <c r="C5018" s="819"/>
      <c r="D5018" s="819"/>
      <c r="E5018" s="819"/>
      <c r="F5018" s="819"/>
      <c r="G5018" s="820"/>
    </row>
    <row r="5019" spans="1:11">
      <c r="A5019" s="84" t="s">
        <v>1903</v>
      </c>
      <c r="B5019" s="84" t="s">
        <v>131</v>
      </c>
      <c r="C5019" s="160" t="s">
        <v>1904</v>
      </c>
      <c r="D5019" s="84" t="s">
        <v>167</v>
      </c>
      <c r="E5019" s="85" t="s">
        <v>1905</v>
      </c>
      <c r="F5019" s="86" t="s">
        <v>1906</v>
      </c>
      <c r="G5019" s="86" t="s">
        <v>1907</v>
      </c>
    </row>
    <row r="5020" spans="1:11">
      <c r="A5020" s="87"/>
      <c r="B5020" s="87"/>
      <c r="C5020" s="278" t="str">
        <f>IF(B5020="","",IF($A$8="NÃO DESONERADO",(IF(A5020="SINAPI",VLOOKUP(B5020,#REF!,2,0),IF(A5020="SUDECAP",VLOOKUP(B5020,#REF!,3,0),IF(A5020="SETOP",VLOOKUP(B5020,#REF!,2,0),IF(A5020="COTAÇÃO",VLOOKUP(B5020,'Mapa Cotações'!$A:$N,2,0)))))),(IF(A5020="SINAPI",VLOOKUP(B5020,#REF!,2,0),IF(A5020="SUDECAP",VLOOKUP(B5020,#REF!,3,0),IF(A5020="SETOP",VLOOKUP(B5020,#REF!,2,0),IF(A5020="COTAÇÃO",VLOOKUP(B5020,'Mapa Cotações'!$A:$N,2,0))))))))</f>
        <v/>
      </c>
      <c r="D5020" s="89" t="str">
        <f>IF(B5020="","",IF($A$8="NÃO DESONERADO",(IF(A5020="SINAPI",VLOOKUP(B5020,#REF!,3,0),IF(A5020="SUDECAP",VLOOKUP(B5020,#REF!,4,0),IF(A5020="SETOP",VLOOKUP(B5020,#REF!,3,0),IF(A5020="COTAÇÃO",VLOOKUP(B5020,'Mapa Cotações'!$A:$N,3,0)))))),(IF(A5020="SINAPI",VLOOKUP(B5020,#REF!,3,0),IF(A5020="SUDECAP",VLOOKUP(B5020,#REF!,4,0),IF(A5020="SETOP",VLOOKUP(B5020,#REF!,3,0),IF(A5020="COTAÇÃO",VLOOKUP(B5020,'Mapa Cotações'!$A:$N,3,0))))))))</f>
        <v/>
      </c>
      <c r="E5020" s="88"/>
      <c r="F5020" s="89" t="str">
        <f>IF(B5020="","",IF($A$8="NÃO DESONERADO",(IF(A5020="SINAPI",VLOOKUP(B5020,#REF!,4,0),IF(A5020="SUDECAP",VLOOKUP(B5020,#REF!,5,0),IF(A5020="SETOP",VLOOKUP(B5020,#REF!,4,0),IF(A5020="COTAÇÃO",VLOOKUP(B5020,'Mapa Cotações'!$A:$N,13,0)))))),(IF(A5020="SINAPI",VLOOKUP(B5020,#REF!,4,0),IF(A5020="SUDECAP",VLOOKUP(B5020,#REF!,5,0),IF(A5020="SETOP",VLOOKUP(B5020,#REF!,4,0),IF(A5020="COTAÇÃO",VLOOKUP(B5020,'Mapa Cotações'!$A:$N,13,0))))))))</f>
        <v/>
      </c>
      <c r="G5020" s="89" t="str">
        <f>IF(D5020="","",E5020*F5020)</f>
        <v/>
      </c>
    </row>
    <row r="5021" spans="1:11">
      <c r="A5021" s="87"/>
      <c r="B5021" s="87"/>
      <c r="C5021" s="278" t="str">
        <f>IF(B5021="","",IF($A$8="NÃO DESONERADO",(IF(A5021="SINAPI",VLOOKUP(B5021,#REF!,2,0),IF(A5021="SUDECAP",VLOOKUP(B5021,#REF!,3,0),IF(A5021="SETOP",VLOOKUP(B5021,#REF!,2,0),IF(A5021="COTAÇÃO",VLOOKUP(B5021,'Mapa Cotações'!$A:$N,2,0)))))),(IF(A5021="SINAPI",VLOOKUP(B5021,#REF!,2,0),IF(A5021="SUDECAP",VLOOKUP(B5021,#REF!,3,0),IF(A5021="SETOP",VLOOKUP(B5021,#REF!,2,0),IF(A5021="COTAÇÃO",VLOOKUP(B5021,'Mapa Cotações'!$A:$N,2,0))))))))</f>
        <v/>
      </c>
      <c r="D5021" s="89" t="str">
        <f>IF(B5021="","",IF($A$8="NÃO DESONERADO",(IF(A5021="SINAPI",VLOOKUP(B5021,#REF!,3,0),IF(A5021="SUDECAP",VLOOKUP(B5021,#REF!,4,0),IF(A5021="SETOP",VLOOKUP(B5021,#REF!,3,0),IF(A5021="COTAÇÃO",VLOOKUP(B5021,'Mapa Cotações'!$A:$N,3,0)))))),(IF(A5021="SINAPI",VLOOKUP(B5021,#REF!,3,0),IF(A5021="SUDECAP",VLOOKUP(B5021,#REF!,4,0),IF(A5021="SETOP",VLOOKUP(B5021,#REF!,3,0),IF(A5021="COTAÇÃO",VLOOKUP(B5021,'Mapa Cotações'!$A:$N,3,0))))))))</f>
        <v/>
      </c>
      <c r="E5021" s="88"/>
      <c r="F5021" s="89" t="str">
        <f>IF(B5021="","",IF($A$8="NÃO DESONERADO",(IF(A5021="SINAPI",VLOOKUP(B5021,#REF!,4,0),IF(A5021="SUDECAP",VLOOKUP(B5021,#REF!,5,0),IF(A5021="SETOP",VLOOKUP(B5021,#REF!,4,0),IF(A5021="COTAÇÃO",VLOOKUP(B5021,'Mapa Cotações'!$A:$N,13,0)))))),(IF(A5021="SINAPI",VLOOKUP(B5021,#REF!,4,0),IF(A5021="SUDECAP",VLOOKUP(B5021,#REF!,5,0),IF(A5021="SETOP",VLOOKUP(B5021,#REF!,4,0),IF(A5021="COTAÇÃO",VLOOKUP(B5021,'Mapa Cotações'!$A:$N,13,0))))))))</f>
        <v/>
      </c>
      <c r="G5021" s="89" t="str">
        <f>IF(D5021="","",E5021*F5021)</f>
        <v/>
      </c>
    </row>
    <row r="5022" spans="1:11">
      <c r="A5022" s="832" t="s">
        <v>1908</v>
      </c>
      <c r="B5022" s="833"/>
      <c r="C5022" s="833"/>
      <c r="D5022" s="833"/>
      <c r="E5022" s="833"/>
      <c r="F5022" s="834"/>
      <c r="G5022" s="90" t="str">
        <f>IF(F5020="","",(SUM(G5020:G5021)))</f>
        <v/>
      </c>
    </row>
    <row r="5023" spans="1:11">
      <c r="A5023" s="91"/>
      <c r="B5023" s="92"/>
      <c r="C5023" s="161"/>
      <c r="D5023" s="93"/>
      <c r="E5023" s="94"/>
      <c r="F5023" s="95"/>
      <c r="G5023" s="96"/>
    </row>
    <row r="5024" spans="1:11">
      <c r="A5024" s="835" t="s">
        <v>1909</v>
      </c>
      <c r="B5024" s="836"/>
      <c r="C5024" s="836"/>
      <c r="D5024" s="836"/>
      <c r="E5024" s="836"/>
      <c r="F5024" s="836"/>
      <c r="G5024" s="837"/>
    </row>
    <row r="5025" spans="1:11">
      <c r="A5025" s="84" t="s">
        <v>1903</v>
      </c>
      <c r="B5025" s="84" t="s">
        <v>131</v>
      </c>
      <c r="C5025" s="160" t="s">
        <v>1904</v>
      </c>
      <c r="D5025" s="84" t="s">
        <v>167</v>
      </c>
      <c r="E5025" s="85" t="s">
        <v>1905</v>
      </c>
      <c r="F5025" s="86" t="s">
        <v>1906</v>
      </c>
      <c r="G5025" s="86" t="s">
        <v>1907</v>
      </c>
    </row>
    <row r="5026" spans="1:11">
      <c r="A5026" s="87"/>
      <c r="B5026" s="87"/>
      <c r="C5026" s="278" t="str">
        <f>IF(B5026="","",IF($A$8="NÃO DESONERADO",(IF(A5026="SINAPI",VLOOKUP(B5026,#REF!,2,0),IF(A5026="SUDECAP",VLOOKUP(B5026,#REF!,3,0),IF(A5026="SETOP",VLOOKUP(B5026,#REF!,2,0),IF(A5026="COTAÇÃO",VLOOKUP(B5026,'Mapa Cotações'!$A:$N,2,0)))))),(IF(A5026="SINAPI",VLOOKUP(B5026,#REF!,2,0),IF(A5026="SUDECAP",VLOOKUP(B5026,#REF!,3,0),IF(A5026="SETOP",VLOOKUP(B5026,#REF!,2,0),IF(A5026="COTAÇÃO",VLOOKUP(B5026,'Mapa Cotações'!$A:$N,2,0))))))))</f>
        <v/>
      </c>
      <c r="D5026" s="89" t="str">
        <f>IF(B5026="","",IF($A$8="NÃO DESONERADO",(IF(A5026="SINAPI",VLOOKUP(B5026,#REF!,3,0),IF(A5026="SUDECAP",VLOOKUP(B5026,#REF!,4,0),IF(A5026="SETOP",VLOOKUP(B5026,#REF!,3,0),IF(A5026="COTAÇÃO",VLOOKUP(B5026,'Mapa Cotações'!$A:$N,3,0)))))),(IF(A5026="SINAPI",VLOOKUP(B5026,#REF!,3,0),IF(A5026="SUDECAP",VLOOKUP(B5026,#REF!,4,0),IF(A5026="SETOP",VLOOKUP(B5026,#REF!,3,0),IF(A5026="COTAÇÃO",VLOOKUP(B5026,'Mapa Cotações'!$A:$N,3,0))))))))</f>
        <v/>
      </c>
      <c r="E5026" s="88"/>
      <c r="F5026" s="89" t="str">
        <f>IF(B5026="","",IF($A$8="NÃO DESONERADO",(IF(A5026="SINAPI",VLOOKUP(B5026,#REF!,4,0),IF(A5026="SUDECAP",VLOOKUP(B5026,#REF!,5,0),IF(A5026="SETOP",VLOOKUP(B5026,#REF!,4,0),IF(A5026="COTAÇÃO",VLOOKUP(B5026,'Mapa Cotações'!$A:$N,13,0)))))),(IF(A5026="SINAPI",VLOOKUP(B5026,#REF!,4,0),IF(A5026="SUDECAP",VLOOKUP(B5026,#REF!,5,0),IF(A5026="SETOP",VLOOKUP(B5026,#REF!,4,0),IF(A5026="COTAÇÃO",VLOOKUP(B5026,'Mapa Cotações'!$A:$N,13,0))))))))</f>
        <v/>
      </c>
      <c r="G5026" s="89" t="str">
        <f>IF(D5026="","",E5026*F5026)</f>
        <v/>
      </c>
    </row>
    <row r="5027" spans="1:11">
      <c r="A5027" s="87"/>
      <c r="B5027" s="87"/>
      <c r="C5027" s="278" t="str">
        <f>IF(B5027="","",IF($A$8="NÃO DESONERADO",(IF(A5027="SINAPI",VLOOKUP(B5027,#REF!,2,0),IF(A5027="SUDECAP",VLOOKUP(B5027,#REF!,3,0),IF(A5027="SETOP",VLOOKUP(B5027,#REF!,2,0),IF(A5027="COTAÇÃO",VLOOKUP(B5027,'Mapa Cotações'!$A:$N,2,0)))))),(IF(A5027="SINAPI",VLOOKUP(B5027,#REF!,2,0),IF(A5027="SUDECAP",VLOOKUP(B5027,#REF!,3,0),IF(A5027="SETOP",VLOOKUP(B5027,#REF!,2,0),IF(A5027="COTAÇÃO",VLOOKUP(B5027,'Mapa Cotações'!$A:$N,2,0))))))))</f>
        <v/>
      </c>
      <c r="D5027" s="89" t="str">
        <f>IF(B5027="","",IF($A$8="NÃO DESONERADO",(IF(A5027="SINAPI",VLOOKUP(B5027,#REF!,3,0),IF(A5027="SUDECAP",VLOOKUP(B5027,#REF!,4,0),IF(A5027="SETOP",VLOOKUP(B5027,#REF!,3,0),IF(A5027="COTAÇÃO",VLOOKUP(B5027,'Mapa Cotações'!$A:$N,3,0)))))),(IF(A5027="SINAPI",VLOOKUP(B5027,#REF!,3,0),IF(A5027="SUDECAP",VLOOKUP(B5027,#REF!,4,0),IF(A5027="SETOP",VLOOKUP(B5027,#REF!,3,0),IF(A5027="COTAÇÃO",VLOOKUP(B5027,'Mapa Cotações'!$A:$N,3,0))))))))</f>
        <v/>
      </c>
      <c r="E5027" s="88"/>
      <c r="F5027" s="89" t="str">
        <f>IF(B5027="","",IF($A$8="NÃO DESONERADO",(IF(A5027="SINAPI",VLOOKUP(B5027,#REF!,4,0),IF(A5027="SUDECAP",VLOOKUP(B5027,#REF!,5,0),IF(A5027="SETOP",VLOOKUP(B5027,#REF!,4,0),IF(A5027="COTAÇÃO",VLOOKUP(B5027,'Mapa Cotações'!$A:$N,13,0)))))),(IF(A5027="SINAPI",VLOOKUP(B5027,#REF!,4,0),IF(A5027="SUDECAP",VLOOKUP(B5027,#REF!,5,0),IF(A5027="SETOP",VLOOKUP(B5027,#REF!,4,0),IF(A5027="COTAÇÃO",VLOOKUP(B5027,'Mapa Cotações'!$A:$N,13,0))))))))</f>
        <v/>
      </c>
      <c r="G5027" s="89" t="str">
        <f>IF(D5027="","",E5027*F5027)</f>
        <v/>
      </c>
    </row>
    <row r="5028" spans="1:11">
      <c r="A5028" s="832" t="s">
        <v>1908</v>
      </c>
      <c r="B5028" s="833"/>
      <c r="C5028" s="833"/>
      <c r="D5028" s="833"/>
      <c r="E5028" s="833"/>
      <c r="F5028" s="834"/>
      <c r="G5028" s="90" t="str">
        <f>IF(F5026="","",(SUM(G5026:G5027)))</f>
        <v/>
      </c>
    </row>
    <row r="5029" spans="1:11">
      <c r="A5029" s="91"/>
      <c r="B5029" s="92"/>
      <c r="C5029" s="162"/>
      <c r="D5029" s="92"/>
      <c r="E5029" s="97"/>
      <c r="F5029" s="98"/>
      <c r="G5029" s="96"/>
    </row>
    <row r="5030" spans="1:11">
      <c r="A5030" s="835" t="s">
        <v>1912</v>
      </c>
      <c r="B5030" s="836"/>
      <c r="C5030" s="836"/>
      <c r="D5030" s="836"/>
      <c r="E5030" s="836"/>
      <c r="F5030" s="836"/>
      <c r="G5030" s="837"/>
    </row>
    <row r="5031" spans="1:11">
      <c r="A5031" s="84" t="s">
        <v>1903</v>
      </c>
      <c r="B5031" s="84" t="s">
        <v>131</v>
      </c>
      <c r="C5031" s="160" t="s">
        <v>1904</v>
      </c>
      <c r="D5031" s="84" t="s">
        <v>167</v>
      </c>
      <c r="E5031" s="85" t="s">
        <v>1905</v>
      </c>
      <c r="F5031" s="86" t="s">
        <v>1906</v>
      </c>
      <c r="G5031" s="86" t="s">
        <v>1907</v>
      </c>
    </row>
    <row r="5032" spans="1:11" ht="24">
      <c r="A5032" s="87" t="s">
        <v>2</v>
      </c>
      <c r="B5032" s="87">
        <v>96113</v>
      </c>
      <c r="C5032" s="278" t="s">
        <v>2207</v>
      </c>
      <c r="D5032" s="89" t="s">
        <v>2184</v>
      </c>
      <c r="E5032" s="88">
        <v>1.05</v>
      </c>
      <c r="F5032" s="89">
        <v>47.27</v>
      </c>
      <c r="G5032" s="89">
        <f>IF(D5032="","",E5032*F5032)</f>
        <v>49.633500000000005</v>
      </c>
    </row>
    <row r="5033" spans="1:11" ht="24">
      <c r="A5033" s="87" t="s">
        <v>2</v>
      </c>
      <c r="B5033" s="87">
        <v>88488</v>
      </c>
      <c r="C5033" s="278" t="s">
        <v>2208</v>
      </c>
      <c r="D5033" s="89" t="s">
        <v>2184</v>
      </c>
      <c r="E5033" s="88">
        <v>1.05</v>
      </c>
      <c r="F5033" s="89">
        <v>14.65</v>
      </c>
      <c r="G5033" s="89">
        <f>IF(D5033="","",E5033*F5033)</f>
        <v>15.3825</v>
      </c>
    </row>
    <row r="5034" spans="1:11">
      <c r="A5034" s="832" t="s">
        <v>1908</v>
      </c>
      <c r="B5034" s="833" t="s">
        <v>1908</v>
      </c>
      <c r="C5034" s="833"/>
      <c r="D5034" s="833"/>
      <c r="E5034" s="833"/>
      <c r="F5034" s="834"/>
      <c r="G5034" s="90">
        <f>IF(F5032="","",(SUM(G5032:G5033)))</f>
        <v>65.016000000000005</v>
      </c>
    </row>
    <row r="5035" spans="1:11" ht="13.5" thickBot="1">
      <c r="A5035" s="91"/>
      <c r="B5035" s="92"/>
      <c r="C5035" s="163"/>
      <c r="D5035" s="99"/>
      <c r="E5035" s="100"/>
      <c r="F5035" s="101"/>
      <c r="G5035" s="102"/>
    </row>
    <row r="5036" spans="1:11" ht="13.5" thickBot="1">
      <c r="A5036" s="838" t="s">
        <v>1259</v>
      </c>
      <c r="B5036" s="839"/>
      <c r="C5036" s="839"/>
      <c r="D5036" s="839"/>
      <c r="E5036" s="839"/>
      <c r="F5036" s="840"/>
      <c r="G5036" s="103">
        <f>SUM(G5022,G5028,G5034)</f>
        <v>65.016000000000005</v>
      </c>
    </row>
    <row r="5039" spans="1:11">
      <c r="A5039" s="237" t="s">
        <v>131</v>
      </c>
      <c r="B5039" s="190" t="s">
        <v>27</v>
      </c>
      <c r="C5039" s="841" t="s">
        <v>1281</v>
      </c>
      <c r="D5039" s="841"/>
      <c r="E5039" s="841"/>
      <c r="F5039" s="841"/>
      <c r="G5039" s="81" t="s">
        <v>127</v>
      </c>
      <c r="I5039" s="480" t="s">
        <v>1901</v>
      </c>
      <c r="J5039" s="80"/>
      <c r="K5039" s="80"/>
    </row>
    <row r="5040" spans="1:11" ht="61.5" customHeight="1">
      <c r="A5040" s="179" t="s">
        <v>770</v>
      </c>
      <c r="B5040" s="82"/>
      <c r="C5040" s="830" t="s">
        <v>1708</v>
      </c>
      <c r="D5040" s="831"/>
      <c r="E5040" s="831"/>
      <c r="F5040" s="186">
        <f>G5067</f>
        <v>181.67262399999998</v>
      </c>
      <c r="G5040" s="83" t="s">
        <v>150</v>
      </c>
      <c r="I5040" s="481"/>
      <c r="J5040" s="272"/>
      <c r="K5040" s="272"/>
    </row>
    <row r="5041" spans="1:7">
      <c r="A5041" s="818" t="s">
        <v>1902</v>
      </c>
      <c r="B5041" s="819"/>
      <c r="C5041" s="819"/>
      <c r="D5041" s="819"/>
      <c r="E5041" s="819"/>
      <c r="F5041" s="819"/>
      <c r="G5041" s="820"/>
    </row>
    <row r="5042" spans="1:7">
      <c r="A5042" s="84" t="s">
        <v>1903</v>
      </c>
      <c r="B5042" s="84" t="s">
        <v>131</v>
      </c>
      <c r="C5042" s="160" t="s">
        <v>1904</v>
      </c>
      <c r="D5042" s="84" t="s">
        <v>167</v>
      </c>
      <c r="E5042" s="85" t="s">
        <v>1905</v>
      </c>
      <c r="F5042" s="86" t="s">
        <v>1906</v>
      </c>
      <c r="G5042" s="86" t="s">
        <v>1907</v>
      </c>
    </row>
    <row r="5043" spans="1:7" ht="48">
      <c r="A5043" s="87" t="s">
        <v>2</v>
      </c>
      <c r="B5043" s="87">
        <v>39511</v>
      </c>
      <c r="C5043" s="278" t="s">
        <v>2209</v>
      </c>
      <c r="D5043" s="89" t="s">
        <v>2184</v>
      </c>
      <c r="E5043" s="88">
        <v>1.05</v>
      </c>
      <c r="F5043" s="89">
        <v>126.32</v>
      </c>
      <c r="G5043" s="89">
        <f>IF(D5043="","",E5043*F5043)</f>
        <v>132.636</v>
      </c>
    </row>
    <row r="5044" spans="1:7" ht="36">
      <c r="A5044" s="87" t="s">
        <v>2210</v>
      </c>
      <c r="B5044" s="87" t="s">
        <v>2211</v>
      </c>
      <c r="C5044" s="278" t="s">
        <v>2212</v>
      </c>
      <c r="D5044" s="89" t="s">
        <v>180</v>
      </c>
      <c r="E5044" s="88" t="s">
        <v>2213</v>
      </c>
      <c r="F5044" s="89" t="s">
        <v>2214</v>
      </c>
      <c r="G5044" s="89">
        <f t="shared" ref="G5044:G5051" si="62">IF(D5044="","",E5044*F5044)</f>
        <v>17.80594</v>
      </c>
    </row>
    <row r="5045" spans="1:7" ht="36">
      <c r="A5045" s="87" t="s">
        <v>2210</v>
      </c>
      <c r="B5045" s="87" t="s">
        <v>2215</v>
      </c>
      <c r="C5045" s="278" t="s">
        <v>2216</v>
      </c>
      <c r="D5045" s="89" t="s">
        <v>167</v>
      </c>
      <c r="E5045" s="88" t="s">
        <v>2217</v>
      </c>
      <c r="F5045" s="89" t="s">
        <v>2218</v>
      </c>
      <c r="G5045" s="89">
        <f t="shared" si="62"/>
        <v>2.3184629999999995</v>
      </c>
    </row>
    <row r="5046" spans="1:7" ht="36">
      <c r="A5046" s="87" t="s">
        <v>2210</v>
      </c>
      <c r="B5046" s="87" t="s">
        <v>2219</v>
      </c>
      <c r="C5046" s="278" t="s">
        <v>2220</v>
      </c>
      <c r="D5046" s="89" t="s">
        <v>180</v>
      </c>
      <c r="E5046" s="88" t="s">
        <v>2221</v>
      </c>
      <c r="F5046" s="89" t="s">
        <v>2222</v>
      </c>
      <c r="G5046" s="89">
        <f t="shared" si="62"/>
        <v>4.1543160000000006</v>
      </c>
    </row>
    <row r="5047" spans="1:7" ht="24">
      <c r="A5047" s="87" t="s">
        <v>2210</v>
      </c>
      <c r="B5047" s="87" t="s">
        <v>2223</v>
      </c>
      <c r="C5047" s="278" t="s">
        <v>2224</v>
      </c>
      <c r="D5047" s="89" t="s">
        <v>167</v>
      </c>
      <c r="E5047" s="88" t="s">
        <v>2225</v>
      </c>
      <c r="F5047" s="89" t="s">
        <v>2226</v>
      </c>
      <c r="G5047" s="89">
        <f t="shared" si="62"/>
        <v>1.3505660000000002</v>
      </c>
    </row>
    <row r="5048" spans="1:7" ht="36">
      <c r="A5048" s="87" t="s">
        <v>2210</v>
      </c>
      <c r="B5048" s="87" t="s">
        <v>2227</v>
      </c>
      <c r="C5048" s="278" t="s">
        <v>2228</v>
      </c>
      <c r="D5048" s="89" t="s">
        <v>167</v>
      </c>
      <c r="E5048" s="88" t="s">
        <v>2217</v>
      </c>
      <c r="F5048" s="89" t="s">
        <v>2229</v>
      </c>
      <c r="G5048" s="89">
        <f t="shared" si="62"/>
        <v>0.40481099999999998</v>
      </c>
    </row>
    <row r="5049" spans="1:7" ht="24">
      <c r="A5049" s="87" t="s">
        <v>2210</v>
      </c>
      <c r="B5049" s="87" t="s">
        <v>2230</v>
      </c>
      <c r="C5049" s="278" t="s">
        <v>2231</v>
      </c>
      <c r="D5049" s="89" t="s">
        <v>2232</v>
      </c>
      <c r="E5049" s="88" t="s">
        <v>2233</v>
      </c>
      <c r="F5049" s="89" t="s">
        <v>2234</v>
      </c>
      <c r="G5049" s="89">
        <f t="shared" si="62"/>
        <v>0.45805200000000001</v>
      </c>
    </row>
    <row r="5050" spans="1:7" ht="36">
      <c r="A5050" s="87" t="s">
        <v>2210</v>
      </c>
      <c r="B5050" s="87" t="s">
        <v>2235</v>
      </c>
      <c r="C5050" s="278" t="s">
        <v>2236</v>
      </c>
      <c r="D5050" s="89" t="s">
        <v>1171</v>
      </c>
      <c r="E5050" s="88" t="s">
        <v>2237</v>
      </c>
      <c r="F5050" s="89" t="s">
        <v>2238</v>
      </c>
      <c r="G5050" s="89">
        <f t="shared" si="62"/>
        <v>1.0744799999999999</v>
      </c>
    </row>
    <row r="5051" spans="1:7">
      <c r="A5051" s="87"/>
      <c r="B5051" s="87"/>
      <c r="C5051" s="278"/>
      <c r="D5051" s="89"/>
      <c r="E5051" s="88"/>
      <c r="F5051" s="89"/>
      <c r="G5051" s="89" t="str">
        <f t="shared" si="62"/>
        <v/>
      </c>
    </row>
    <row r="5052" spans="1:7">
      <c r="A5052" s="87"/>
      <c r="B5052" s="87"/>
      <c r="C5052" s="278" t="str">
        <f>IF(B5052="","",IF($A$8="NÃO DESONERADO",(IF(A5052="SINAPI",VLOOKUP(B5052,#REF!,2,0),IF(A5052="SUDECAP",VLOOKUP(B5052,#REF!,3,0),IF(A5052="SETOP",VLOOKUP(B5052,#REF!,2,0),IF(A5052="COTAÇÃO",VLOOKUP(B5052,'Mapa Cotações'!$A:$N,2,0)))))),(IF(A5052="SINAPI",VLOOKUP(B5052,#REF!,2,0),IF(A5052="SUDECAP",VLOOKUP(B5052,#REF!,3,0),IF(A5052="SETOP",VLOOKUP(B5052,#REF!,2,0),IF(A5052="COTAÇÃO",VLOOKUP(B5052,'Mapa Cotações'!$A:$N,2,0))))))))</f>
        <v/>
      </c>
      <c r="D5052" s="89" t="str">
        <f>IF(B5052="","",IF($A$8="NÃO DESONERADO",(IF(A5052="SINAPI",VLOOKUP(B5052,#REF!,3,0),IF(A5052="SUDECAP",VLOOKUP(B5052,#REF!,4,0),IF(A5052="SETOP",VLOOKUP(B5052,#REF!,3,0),IF(A5052="COTAÇÃO",VLOOKUP(B5052,'Mapa Cotações'!$A:$N,3,0)))))),(IF(A5052="SINAPI",VLOOKUP(B5052,#REF!,3,0),IF(A5052="SUDECAP",VLOOKUP(B5052,#REF!,4,0),IF(A5052="SETOP",VLOOKUP(B5052,#REF!,3,0),IF(A5052="COTAÇÃO",VLOOKUP(B5052,'Mapa Cotações'!$A:$N,3,0))))))))</f>
        <v/>
      </c>
      <c r="E5052" s="88"/>
      <c r="F5052" s="89" t="str">
        <f>IF(B5052="","",IF($A$8="NÃO DESONERADO",(IF(A5052="SINAPI",VLOOKUP(B5052,#REF!,4,0),IF(A5052="SUDECAP",VLOOKUP(B5052,#REF!,5,0),IF(A5052="SETOP",VLOOKUP(B5052,#REF!,4,0),IF(A5052="COTAÇÃO",VLOOKUP(B5052,'Mapa Cotações'!$A:$N,13,0)))))),(IF(A5052="SINAPI",VLOOKUP(B5052,#REF!,4,0),IF(A5052="SUDECAP",VLOOKUP(B5052,#REF!,5,0),IF(A5052="SETOP",VLOOKUP(B5052,#REF!,4,0),IF(A5052="COTAÇÃO",VLOOKUP(B5052,'Mapa Cotações'!$A:$N,13,0))))))))</f>
        <v/>
      </c>
      <c r="G5052" s="89" t="str">
        <f>IF(D5052="","",E5052*F5052)</f>
        <v/>
      </c>
    </row>
    <row r="5053" spans="1:7">
      <c r="A5053" s="832" t="s">
        <v>1908</v>
      </c>
      <c r="B5053" s="833"/>
      <c r="C5053" s="833"/>
      <c r="D5053" s="833"/>
      <c r="E5053" s="833"/>
      <c r="F5053" s="834"/>
      <c r="G5053" s="90">
        <f>IF(F5043="","",(SUM(G5043:G5052)))</f>
        <v>160.20262799999998</v>
      </c>
    </row>
    <row r="5054" spans="1:7">
      <c r="A5054" s="91"/>
      <c r="B5054" s="92"/>
      <c r="C5054" s="161"/>
      <c r="D5054" s="93"/>
      <c r="E5054" s="94"/>
      <c r="F5054" s="95"/>
      <c r="G5054" s="96"/>
    </row>
    <row r="5055" spans="1:7">
      <c r="A5055" s="835" t="s">
        <v>1909</v>
      </c>
      <c r="B5055" s="836"/>
      <c r="C5055" s="836"/>
      <c r="D5055" s="836"/>
      <c r="E5055" s="836"/>
      <c r="F5055" s="836"/>
      <c r="G5055" s="837"/>
    </row>
    <row r="5056" spans="1:7">
      <c r="A5056" s="84" t="s">
        <v>1903</v>
      </c>
      <c r="B5056" s="84" t="s">
        <v>131</v>
      </c>
      <c r="C5056" s="160" t="s">
        <v>1904</v>
      </c>
      <c r="D5056" s="84" t="s">
        <v>167</v>
      </c>
      <c r="E5056" s="85" t="s">
        <v>1905</v>
      </c>
      <c r="F5056" s="86" t="s">
        <v>1906</v>
      </c>
      <c r="G5056" s="86" t="s">
        <v>1907</v>
      </c>
    </row>
    <row r="5057" spans="1:11" ht="24">
      <c r="A5057" s="87" t="s">
        <v>2239</v>
      </c>
      <c r="B5057" s="87" t="s">
        <v>2240</v>
      </c>
      <c r="C5057" s="278" t="s">
        <v>2241</v>
      </c>
      <c r="D5057" s="89" t="s">
        <v>137</v>
      </c>
      <c r="E5057" s="88" t="s">
        <v>2242</v>
      </c>
      <c r="F5057" s="89" t="s">
        <v>2243</v>
      </c>
      <c r="G5057" s="89">
        <f t="shared" ref="G5057:G5058" si="63">IF(D5057="","",E5057*F5057)</f>
        <v>11.70177</v>
      </c>
    </row>
    <row r="5058" spans="1:11">
      <c r="A5058" s="87" t="s">
        <v>2239</v>
      </c>
      <c r="B5058" s="87" t="s">
        <v>2193</v>
      </c>
      <c r="C5058" s="278" t="s">
        <v>1922</v>
      </c>
      <c r="D5058" s="89" t="s">
        <v>137</v>
      </c>
      <c r="E5058" s="88" t="s">
        <v>2242</v>
      </c>
      <c r="F5058" s="89" t="s">
        <v>2195</v>
      </c>
      <c r="G5058" s="89">
        <f t="shared" si="63"/>
        <v>9.7682260000000003</v>
      </c>
    </row>
    <row r="5059" spans="1:11">
      <c r="A5059" s="832" t="s">
        <v>1908</v>
      </c>
      <c r="B5059" s="833"/>
      <c r="C5059" s="833"/>
      <c r="D5059" s="833"/>
      <c r="E5059" s="833"/>
      <c r="F5059" s="834"/>
      <c r="G5059" s="90">
        <f>IF(F5057="","",(SUM(G5057:G5058)))</f>
        <v>21.469996000000002</v>
      </c>
    </row>
    <row r="5060" spans="1:11">
      <c r="A5060" s="91"/>
      <c r="B5060" s="92"/>
      <c r="C5060" s="162"/>
      <c r="D5060" s="92"/>
      <c r="E5060" s="97"/>
      <c r="F5060" s="98"/>
      <c r="G5060" s="96"/>
    </row>
    <row r="5061" spans="1:11">
      <c r="A5061" s="835" t="s">
        <v>1912</v>
      </c>
      <c r="B5061" s="836"/>
      <c r="C5061" s="836"/>
      <c r="D5061" s="836"/>
      <c r="E5061" s="836"/>
      <c r="F5061" s="836"/>
      <c r="G5061" s="837"/>
    </row>
    <row r="5062" spans="1:11">
      <c r="A5062" s="84" t="s">
        <v>1903</v>
      </c>
      <c r="B5062" s="84" t="s">
        <v>131</v>
      </c>
      <c r="C5062" s="160" t="s">
        <v>1904</v>
      </c>
      <c r="D5062" s="84" t="s">
        <v>167</v>
      </c>
      <c r="E5062" s="85" t="s">
        <v>1905</v>
      </c>
      <c r="F5062" s="86" t="s">
        <v>1906</v>
      </c>
      <c r="G5062" s="86" t="s">
        <v>1907</v>
      </c>
    </row>
    <row r="5063" spans="1:11">
      <c r="A5063" s="87"/>
      <c r="B5063" s="87"/>
      <c r="C5063" s="278" t="str">
        <f>IF(B5063="","",IF($A$8="NÃO DESONERADO",(IF(A5063="SINAPI",VLOOKUP(B5063,#REF!,2,0),IF(A5063="SUDECAP",VLOOKUP(B5063,#REF!,3,0),IF(A5063="SETOP",VLOOKUP(B5063,#REF!,2,0),IF(A5063="COTAÇÃO",VLOOKUP(B5063,'Mapa Cotações'!$A:$N,2,0)))))),(IF(A5063="SINAPI",VLOOKUP(B5063,#REF!,2,0),IF(A5063="SUDECAP",VLOOKUP(B5063,#REF!,3,0),IF(A5063="SETOP",VLOOKUP(B5063,#REF!,2,0),IF(A5063="COTAÇÃO",VLOOKUP(B5063,'Mapa Cotações'!$A:$N,2,0))))))))</f>
        <v/>
      </c>
      <c r="D5063" s="89" t="str">
        <f>IF(B5063="","",IF($A$8="NÃO DESONERADO",(IF(A5063="SINAPI",VLOOKUP(B5063,#REF!,3,0),IF(A5063="SUDECAP",VLOOKUP(B5063,#REF!,4,0),IF(A5063="SETOP",VLOOKUP(B5063,#REF!,3,0),IF(A5063="COTAÇÃO",VLOOKUP(B5063,'Mapa Cotações'!$A:$N,3,0)))))),(IF(A5063="SINAPI",VLOOKUP(B5063,#REF!,3,0),IF(A5063="SUDECAP",VLOOKUP(B5063,#REF!,4,0),IF(A5063="SETOP",VLOOKUP(B5063,#REF!,3,0),IF(A5063="COTAÇÃO",VLOOKUP(B5063,'Mapa Cotações'!$A:$N,3,0))))))))</f>
        <v/>
      </c>
      <c r="E5063" s="88"/>
      <c r="F5063" s="89" t="str">
        <f>IF(B5063="","",IF($A$8="NÃO DESONERADO",(IF(A5063="SINAPI",VLOOKUP(B5063,#REF!,4,0),IF(A5063="SUDECAP",VLOOKUP(B5063,#REF!,5,0),IF(A5063="SETOP",VLOOKUP(B5063,#REF!,4,0),IF(A5063="COTAÇÃO",VLOOKUP(B5063,'Mapa Cotações'!$A:$N,13,0)))))),(IF(A5063="SINAPI",VLOOKUP(B5063,#REF!,4,0),IF(A5063="SUDECAP",VLOOKUP(B5063,#REF!,5,0),IF(A5063="SETOP",VLOOKUP(B5063,#REF!,4,0),IF(A5063="COTAÇÃO",VLOOKUP(B5063,'Mapa Cotações'!$A:$N,13,0))))))))</f>
        <v/>
      </c>
      <c r="G5063" s="89" t="str">
        <f>IF(D5063="","",E5063*F5063)</f>
        <v/>
      </c>
    </row>
    <row r="5064" spans="1:11">
      <c r="A5064" s="87"/>
      <c r="B5064" s="87"/>
      <c r="C5064" s="278" t="str">
        <f>IF(B5064="","",IF($A$8="NÃO DESONERADO",(IF(A5064="SINAPI",VLOOKUP(B5064,#REF!,2,0),IF(A5064="SUDECAP",VLOOKUP(B5064,#REF!,3,0),IF(A5064="SETOP",VLOOKUP(B5064,#REF!,2,0),IF(A5064="COTAÇÃO",VLOOKUP(B5064,'Mapa Cotações'!$A:$N,2,0)))))),(IF(A5064="SINAPI",VLOOKUP(B5064,#REF!,2,0),IF(A5064="SUDECAP",VLOOKUP(B5064,#REF!,3,0),IF(A5064="SETOP",VLOOKUP(B5064,#REF!,2,0),IF(A5064="COTAÇÃO",VLOOKUP(B5064,'Mapa Cotações'!$A:$N,2,0))))))))</f>
        <v/>
      </c>
      <c r="D5064" s="89" t="str">
        <f>IF(B5064="","",IF($A$8="NÃO DESONERADO",(IF(A5064="SINAPI",VLOOKUP(B5064,#REF!,3,0),IF(A5064="SUDECAP",VLOOKUP(B5064,#REF!,4,0),IF(A5064="SETOP",VLOOKUP(B5064,#REF!,3,0),IF(A5064="COTAÇÃO",VLOOKUP(B5064,'Mapa Cotações'!$A:$N,3,0)))))),(IF(A5064="SINAPI",VLOOKUP(B5064,#REF!,3,0),IF(A5064="SUDECAP",VLOOKUP(B5064,#REF!,4,0),IF(A5064="SETOP",VLOOKUP(B5064,#REF!,3,0),IF(A5064="COTAÇÃO",VLOOKUP(B5064,'Mapa Cotações'!$A:$N,3,0))))))))</f>
        <v/>
      </c>
      <c r="E5064" s="88"/>
      <c r="F5064" s="89" t="str">
        <f>IF(B5064="","",IF($A$8="NÃO DESONERADO",(IF(A5064="SINAPI",VLOOKUP(B5064,#REF!,4,0),IF(A5064="SUDECAP",VLOOKUP(B5064,#REF!,5,0),IF(A5064="SETOP",VLOOKUP(B5064,#REF!,4,0),IF(A5064="COTAÇÃO",VLOOKUP(B5064,'Mapa Cotações'!$A:$N,13,0)))))),(IF(A5064="SINAPI",VLOOKUP(B5064,#REF!,4,0),IF(A5064="SUDECAP",VLOOKUP(B5064,#REF!,5,0),IF(A5064="SETOP",VLOOKUP(B5064,#REF!,4,0),IF(A5064="COTAÇÃO",VLOOKUP(B5064,'Mapa Cotações'!$A:$N,13,0))))))))</f>
        <v/>
      </c>
      <c r="G5064" s="89" t="str">
        <f>IF(D5064="","",E5064*F5064)</f>
        <v/>
      </c>
    </row>
    <row r="5065" spans="1:11">
      <c r="A5065" s="832" t="s">
        <v>1908</v>
      </c>
      <c r="B5065" s="833" t="s">
        <v>1908</v>
      </c>
      <c r="C5065" s="833"/>
      <c r="D5065" s="833"/>
      <c r="E5065" s="833"/>
      <c r="F5065" s="834"/>
      <c r="G5065" s="90" t="str">
        <f>IF(F5063="","",(SUM(G5063:G5064)))</f>
        <v/>
      </c>
    </row>
    <row r="5066" spans="1:11" ht="13.5" thickBot="1">
      <c r="A5066" s="91"/>
      <c r="B5066" s="92"/>
      <c r="C5066" s="163"/>
      <c r="D5066" s="99"/>
      <c r="E5066" s="100"/>
      <c r="F5066" s="101"/>
      <c r="G5066" s="102"/>
    </row>
    <row r="5067" spans="1:11" ht="13.5" thickBot="1">
      <c r="A5067" s="838" t="s">
        <v>1259</v>
      </c>
      <c r="B5067" s="839"/>
      <c r="C5067" s="839"/>
      <c r="D5067" s="839"/>
      <c r="E5067" s="839"/>
      <c r="F5067" s="840"/>
      <c r="G5067" s="103">
        <f>SUM(G5053,G5059,G5065)</f>
        <v>181.67262399999998</v>
      </c>
    </row>
    <row r="5070" spans="1:11">
      <c r="A5070" s="237" t="s">
        <v>131</v>
      </c>
      <c r="B5070" s="190" t="s">
        <v>27</v>
      </c>
      <c r="C5070" s="841" t="s">
        <v>1281</v>
      </c>
      <c r="D5070" s="841"/>
      <c r="E5070" s="841"/>
      <c r="F5070" s="841"/>
      <c r="G5070" s="81" t="s">
        <v>127</v>
      </c>
      <c r="I5070" s="480" t="s">
        <v>1901</v>
      </c>
      <c r="J5070" s="80"/>
      <c r="K5070" s="80"/>
    </row>
    <row r="5071" spans="1:11" ht="50.1" customHeight="1">
      <c r="A5071" s="179" t="s">
        <v>825</v>
      </c>
      <c r="B5071" s="82"/>
      <c r="C5071" s="830" t="s">
        <v>826</v>
      </c>
      <c r="D5071" s="831"/>
      <c r="E5071" s="831"/>
      <c r="F5071" s="186">
        <f>G5092</f>
        <v>16.649501000000001</v>
      </c>
      <c r="G5071" s="83" t="s">
        <v>167</v>
      </c>
      <c r="I5071" s="481"/>
      <c r="J5071" s="272"/>
      <c r="K5071" s="272"/>
    </row>
    <row r="5072" spans="1:11">
      <c r="A5072" s="818" t="s">
        <v>1902</v>
      </c>
      <c r="B5072" s="819"/>
      <c r="C5072" s="819"/>
      <c r="D5072" s="819"/>
      <c r="E5072" s="819"/>
      <c r="F5072" s="819"/>
      <c r="G5072" s="820"/>
    </row>
    <row r="5073" spans="1:7">
      <c r="A5073" s="84" t="s">
        <v>1903</v>
      </c>
      <c r="B5073" s="84" t="s">
        <v>131</v>
      </c>
      <c r="C5073" s="160" t="s">
        <v>1904</v>
      </c>
      <c r="D5073" s="84" t="s">
        <v>167</v>
      </c>
      <c r="E5073" s="85" t="s">
        <v>1905</v>
      </c>
      <c r="F5073" s="86" t="s">
        <v>1906</v>
      </c>
      <c r="G5073" s="86" t="s">
        <v>1907</v>
      </c>
    </row>
    <row r="5074" spans="1:7" ht="24">
      <c r="A5074" s="87" t="s">
        <v>2</v>
      </c>
      <c r="B5074" s="87">
        <v>10835</v>
      </c>
      <c r="C5074" s="278" t="s">
        <v>2244</v>
      </c>
      <c r="D5074" s="89" t="s">
        <v>1932</v>
      </c>
      <c r="E5074" s="88">
        <v>1</v>
      </c>
      <c r="F5074" s="89">
        <v>5.42</v>
      </c>
      <c r="G5074" s="89">
        <f>IF(D5074="","",E5074*F5074)</f>
        <v>5.42</v>
      </c>
    </row>
    <row r="5075" spans="1:7">
      <c r="A5075" s="87" t="s">
        <v>2</v>
      </c>
      <c r="B5075" s="87">
        <v>122</v>
      </c>
      <c r="C5075" s="278" t="s">
        <v>2245</v>
      </c>
      <c r="D5075" s="89" t="s">
        <v>1932</v>
      </c>
      <c r="E5075" s="88">
        <v>1.18E-2</v>
      </c>
      <c r="F5075" s="89">
        <v>59.63</v>
      </c>
      <c r="G5075" s="89">
        <f t="shared" ref="G5075:G5076" si="64">IF(D5075="","",E5075*F5075)</f>
        <v>0.70363399999999998</v>
      </c>
    </row>
    <row r="5076" spans="1:7" ht="24">
      <c r="A5076" s="87" t="s">
        <v>2</v>
      </c>
      <c r="B5076" s="87">
        <v>20083</v>
      </c>
      <c r="C5076" s="278" t="s">
        <v>2246</v>
      </c>
      <c r="D5076" s="89" t="s">
        <v>1932</v>
      </c>
      <c r="E5076" s="88">
        <v>1.4E-2</v>
      </c>
      <c r="F5076" s="89">
        <v>67.56</v>
      </c>
      <c r="G5076" s="89">
        <f t="shared" si="64"/>
        <v>0.94584000000000001</v>
      </c>
    </row>
    <row r="5077" spans="1:7">
      <c r="A5077" s="87" t="s">
        <v>2</v>
      </c>
      <c r="B5077" s="87">
        <v>38383</v>
      </c>
      <c r="C5077" s="278" t="s">
        <v>2247</v>
      </c>
      <c r="D5077" s="89" t="s">
        <v>1932</v>
      </c>
      <c r="E5077" s="88">
        <v>4.2700000000000002E-2</v>
      </c>
      <c r="F5077" s="89">
        <v>2.41</v>
      </c>
      <c r="G5077" s="89">
        <f>IF(D5077="","",E5077*F5077)</f>
        <v>0.10290700000000001</v>
      </c>
    </row>
    <row r="5078" spans="1:7">
      <c r="A5078" s="832" t="s">
        <v>1908</v>
      </c>
      <c r="B5078" s="833"/>
      <c r="C5078" s="833"/>
      <c r="D5078" s="833"/>
      <c r="E5078" s="833"/>
      <c r="F5078" s="834"/>
      <c r="G5078" s="90">
        <f>IF(F5074="","",(SUM(G5074:G5077)))</f>
        <v>7.1723809999999997</v>
      </c>
    </row>
    <row r="5079" spans="1:7">
      <c r="A5079" s="91"/>
      <c r="B5079" s="92"/>
      <c r="C5079" s="161"/>
      <c r="D5079" s="93"/>
      <c r="E5079" s="94"/>
      <c r="F5079" s="95"/>
      <c r="G5079" s="96"/>
    </row>
    <row r="5080" spans="1:7">
      <c r="A5080" s="835" t="s">
        <v>1909</v>
      </c>
      <c r="B5080" s="836"/>
      <c r="C5080" s="836"/>
      <c r="D5080" s="836"/>
      <c r="E5080" s="836"/>
      <c r="F5080" s="836"/>
      <c r="G5080" s="837"/>
    </row>
    <row r="5081" spans="1:7">
      <c r="A5081" s="84" t="s">
        <v>1903</v>
      </c>
      <c r="B5081" s="84" t="s">
        <v>131</v>
      </c>
      <c r="C5081" s="160" t="s">
        <v>1904</v>
      </c>
      <c r="D5081" s="84" t="s">
        <v>167</v>
      </c>
      <c r="E5081" s="85" t="s">
        <v>1905</v>
      </c>
      <c r="F5081" s="86" t="s">
        <v>1906</v>
      </c>
      <c r="G5081" s="86" t="s">
        <v>1907</v>
      </c>
    </row>
    <row r="5082" spans="1:7" ht="24">
      <c r="A5082" s="87" t="s">
        <v>2</v>
      </c>
      <c r="B5082" s="87">
        <v>88248</v>
      </c>
      <c r="C5082" s="278" t="s">
        <v>1947</v>
      </c>
      <c r="D5082" s="89" t="s">
        <v>2087</v>
      </c>
      <c r="E5082" s="88">
        <v>0.192</v>
      </c>
      <c r="F5082" s="89">
        <v>21.98</v>
      </c>
      <c r="G5082" s="89">
        <f>IF(D5082="","",E5082*F5082)</f>
        <v>4.2201599999999999</v>
      </c>
    </row>
    <row r="5083" spans="1:7" ht="24">
      <c r="A5083" s="87" t="s">
        <v>2</v>
      </c>
      <c r="B5083" s="87">
        <v>88267</v>
      </c>
      <c r="C5083" s="278" t="s">
        <v>1949</v>
      </c>
      <c r="D5083" s="89" t="s">
        <v>2087</v>
      </c>
      <c r="E5083" s="88">
        <v>0.192</v>
      </c>
      <c r="F5083" s="89">
        <v>27.38</v>
      </c>
      <c r="G5083" s="89">
        <f>IF(D5083="","",E5083*F5083)</f>
        <v>5.2569600000000003</v>
      </c>
    </row>
    <row r="5084" spans="1:7">
      <c r="A5084" s="832" t="s">
        <v>1908</v>
      </c>
      <c r="B5084" s="833"/>
      <c r="C5084" s="833"/>
      <c r="D5084" s="833"/>
      <c r="E5084" s="833"/>
      <c r="F5084" s="834"/>
      <c r="G5084" s="90">
        <f>IF(F5082="","",(SUM(G5082:G5083)))</f>
        <v>9.4771199999999993</v>
      </c>
    </row>
    <row r="5085" spans="1:7">
      <c r="A5085" s="91"/>
      <c r="B5085" s="92"/>
      <c r="C5085" s="162"/>
      <c r="D5085" s="92"/>
      <c r="E5085" s="97"/>
      <c r="F5085" s="98"/>
      <c r="G5085" s="96"/>
    </row>
    <row r="5086" spans="1:7">
      <c r="A5086" s="835" t="s">
        <v>1912</v>
      </c>
      <c r="B5086" s="836"/>
      <c r="C5086" s="836"/>
      <c r="D5086" s="836"/>
      <c r="E5086" s="836"/>
      <c r="F5086" s="836"/>
      <c r="G5086" s="837"/>
    </row>
    <row r="5087" spans="1:7">
      <c r="A5087" s="84" t="s">
        <v>1903</v>
      </c>
      <c r="B5087" s="84" t="s">
        <v>131</v>
      </c>
      <c r="C5087" s="160" t="s">
        <v>1904</v>
      </c>
      <c r="D5087" s="84" t="s">
        <v>167</v>
      </c>
      <c r="E5087" s="85" t="s">
        <v>1905</v>
      </c>
      <c r="F5087" s="86" t="s">
        <v>1906</v>
      </c>
      <c r="G5087" s="86" t="s">
        <v>1907</v>
      </c>
    </row>
    <row r="5088" spans="1:7">
      <c r="A5088" s="87"/>
      <c r="B5088" s="87"/>
      <c r="C5088" s="278" t="str">
        <f>IF(B5088="","",IF($A$8="NÃO DESONERADO",(IF(A5088="SINAPI",VLOOKUP(B5088,#REF!,2,0),IF(A5088="SUDECAP",VLOOKUP(B5088,#REF!,3,0),IF(A5088="SETOP",VLOOKUP(B5088,#REF!,2,0),IF(A5088="COTAÇÃO",VLOOKUP(B5088,'Mapa Cotações'!$A:$N,2,0)))))),(IF(A5088="SINAPI",VLOOKUP(B5088,#REF!,2,0),IF(A5088="SUDECAP",VLOOKUP(B5088,#REF!,3,0),IF(A5088="SETOP",VLOOKUP(B5088,#REF!,2,0),IF(A5088="COTAÇÃO",VLOOKUP(B5088,'Mapa Cotações'!$A:$N,2,0))))))))</f>
        <v/>
      </c>
      <c r="D5088" s="89" t="str">
        <f>IF(B5088="","",IF($A$8="NÃO DESONERADO",(IF(A5088="SINAPI",VLOOKUP(B5088,#REF!,3,0),IF(A5088="SUDECAP",VLOOKUP(B5088,#REF!,4,0),IF(A5088="SETOP",VLOOKUP(B5088,#REF!,3,0),IF(A5088="COTAÇÃO",VLOOKUP(B5088,'Mapa Cotações'!$A:$N,3,0)))))),(IF(A5088="SINAPI",VLOOKUP(B5088,#REF!,3,0),IF(A5088="SUDECAP",VLOOKUP(B5088,#REF!,4,0),IF(A5088="SETOP",VLOOKUP(B5088,#REF!,3,0),IF(A5088="COTAÇÃO",VLOOKUP(B5088,'Mapa Cotações'!$A:$N,3,0))))))))</f>
        <v/>
      </c>
      <c r="E5088" s="88"/>
      <c r="F5088" s="89" t="str">
        <f>IF(B5088="","",IF($A$8="NÃO DESONERADO",(IF(A5088="SINAPI",VLOOKUP(B5088,#REF!,4,0),IF(A5088="SUDECAP",VLOOKUP(B5088,#REF!,5,0),IF(A5088="SETOP",VLOOKUP(B5088,#REF!,4,0),IF(A5088="COTAÇÃO",VLOOKUP(B5088,'Mapa Cotações'!$A:$N,13,0)))))),(IF(A5088="SINAPI",VLOOKUP(B5088,#REF!,4,0),IF(A5088="SUDECAP",VLOOKUP(B5088,#REF!,5,0),IF(A5088="SETOP",VLOOKUP(B5088,#REF!,4,0),IF(A5088="COTAÇÃO",VLOOKUP(B5088,'Mapa Cotações'!$A:$N,13,0))))))))</f>
        <v/>
      </c>
      <c r="G5088" s="89" t="str">
        <f>IF(D5088="","",E5088*F5088)</f>
        <v/>
      </c>
    </row>
    <row r="5089" spans="1:11">
      <c r="A5089" s="87"/>
      <c r="B5089" s="87"/>
      <c r="C5089" s="278" t="str">
        <f>IF(B5089="","",IF($A$8="NÃO DESONERADO",(IF(A5089="SINAPI",VLOOKUP(B5089,#REF!,2,0),IF(A5089="SUDECAP",VLOOKUP(B5089,#REF!,3,0),IF(A5089="SETOP",VLOOKUP(B5089,#REF!,2,0),IF(A5089="COTAÇÃO",VLOOKUP(B5089,'Mapa Cotações'!$A:$N,2,0)))))),(IF(A5089="SINAPI",VLOOKUP(B5089,#REF!,2,0),IF(A5089="SUDECAP",VLOOKUP(B5089,#REF!,3,0),IF(A5089="SETOP",VLOOKUP(B5089,#REF!,2,0),IF(A5089="COTAÇÃO",VLOOKUP(B5089,'Mapa Cotações'!$A:$N,2,0))))))))</f>
        <v/>
      </c>
      <c r="D5089" s="89" t="str">
        <f>IF(B5089="","",IF($A$8="NÃO DESONERADO",(IF(A5089="SINAPI",VLOOKUP(B5089,#REF!,3,0),IF(A5089="SUDECAP",VLOOKUP(B5089,#REF!,4,0),IF(A5089="SETOP",VLOOKUP(B5089,#REF!,3,0),IF(A5089="COTAÇÃO",VLOOKUP(B5089,'Mapa Cotações'!$A:$N,3,0)))))),(IF(A5089="SINAPI",VLOOKUP(B5089,#REF!,3,0),IF(A5089="SUDECAP",VLOOKUP(B5089,#REF!,4,0),IF(A5089="SETOP",VLOOKUP(B5089,#REF!,3,0),IF(A5089="COTAÇÃO",VLOOKUP(B5089,'Mapa Cotações'!$A:$N,3,0))))))))</f>
        <v/>
      </c>
      <c r="E5089" s="88"/>
      <c r="F5089" s="89" t="str">
        <f>IF(B5089="","",IF($A$8="NÃO DESONERADO",(IF(A5089="SINAPI",VLOOKUP(B5089,#REF!,4,0),IF(A5089="SUDECAP",VLOOKUP(B5089,#REF!,5,0),IF(A5089="SETOP",VLOOKUP(B5089,#REF!,4,0),IF(A5089="COTAÇÃO",VLOOKUP(B5089,'Mapa Cotações'!$A:$N,13,0)))))),(IF(A5089="SINAPI",VLOOKUP(B5089,#REF!,4,0),IF(A5089="SUDECAP",VLOOKUP(B5089,#REF!,5,0),IF(A5089="SETOP",VLOOKUP(B5089,#REF!,4,0),IF(A5089="COTAÇÃO",VLOOKUP(B5089,'Mapa Cotações'!$A:$N,13,0))))))))</f>
        <v/>
      </c>
      <c r="G5089" s="89" t="str">
        <f>IF(D5089="","",E5089*F5089)</f>
        <v/>
      </c>
    </row>
    <row r="5090" spans="1:11">
      <c r="A5090" s="832" t="s">
        <v>1908</v>
      </c>
      <c r="B5090" s="833" t="s">
        <v>1908</v>
      </c>
      <c r="C5090" s="833"/>
      <c r="D5090" s="833"/>
      <c r="E5090" s="833"/>
      <c r="F5090" s="834"/>
      <c r="G5090" s="90" t="str">
        <f>IF(F5088="","",(SUM(G5088:G5089)))</f>
        <v/>
      </c>
    </row>
    <row r="5091" spans="1:11" ht="13.5" thickBot="1">
      <c r="A5091" s="91"/>
      <c r="B5091" s="92"/>
      <c r="C5091" s="163"/>
      <c r="D5091" s="99"/>
      <c r="E5091" s="100"/>
      <c r="F5091" s="101"/>
      <c r="G5091" s="102"/>
    </row>
    <row r="5092" spans="1:11" ht="13.5" thickBot="1">
      <c r="A5092" s="838" t="s">
        <v>1259</v>
      </c>
      <c r="B5092" s="839"/>
      <c r="C5092" s="839"/>
      <c r="D5092" s="839"/>
      <c r="E5092" s="839"/>
      <c r="F5092" s="840"/>
      <c r="G5092" s="103">
        <f>SUM(G5078,G5084,G5090)</f>
        <v>16.649501000000001</v>
      </c>
    </row>
    <row r="5095" spans="1:11">
      <c r="A5095" s="237" t="s">
        <v>131</v>
      </c>
      <c r="B5095" s="190" t="s">
        <v>27</v>
      </c>
      <c r="C5095" s="841" t="s">
        <v>1281</v>
      </c>
      <c r="D5095" s="841"/>
      <c r="E5095" s="841"/>
      <c r="F5095" s="841"/>
      <c r="G5095" s="81" t="s">
        <v>127</v>
      </c>
      <c r="I5095" s="480" t="s">
        <v>1901</v>
      </c>
      <c r="J5095" s="80"/>
      <c r="K5095" s="80"/>
    </row>
    <row r="5096" spans="1:11" ht="50.1" customHeight="1">
      <c r="A5096" s="179" t="s">
        <v>886</v>
      </c>
      <c r="B5096" s="82"/>
      <c r="C5096" s="830" t="s">
        <v>887</v>
      </c>
      <c r="D5096" s="831"/>
      <c r="E5096" s="831"/>
      <c r="F5096" s="186">
        <f>G5115</f>
        <v>12.46</v>
      </c>
      <c r="G5096" s="83" t="s">
        <v>163</v>
      </c>
      <c r="I5096" s="481"/>
      <c r="J5096" s="272"/>
      <c r="K5096" s="272"/>
    </row>
    <row r="5097" spans="1:11">
      <c r="A5097" s="818" t="s">
        <v>1902</v>
      </c>
      <c r="B5097" s="819"/>
      <c r="C5097" s="819"/>
      <c r="D5097" s="819"/>
      <c r="E5097" s="819"/>
      <c r="F5097" s="819"/>
      <c r="G5097" s="820"/>
    </row>
    <row r="5098" spans="1:11">
      <c r="A5098" s="84" t="s">
        <v>1903</v>
      </c>
      <c r="B5098" s="84" t="s">
        <v>131</v>
      </c>
      <c r="C5098" s="160" t="s">
        <v>1904</v>
      </c>
      <c r="D5098" s="84" t="s">
        <v>167</v>
      </c>
      <c r="E5098" s="85" t="s">
        <v>1905</v>
      </c>
      <c r="F5098" s="86" t="s">
        <v>1906</v>
      </c>
      <c r="G5098" s="86" t="s">
        <v>1907</v>
      </c>
    </row>
    <row r="5099" spans="1:11">
      <c r="A5099" s="87"/>
      <c r="B5099" s="87"/>
      <c r="C5099" s="278" t="str">
        <f>IF(B5099="","",IF($A$8="NÃO DESONERADO",(IF(A5099="SINAPI",VLOOKUP(B5099,#REF!,2,0),IF(A5099="SUDECAP",VLOOKUP(B5099,#REF!,3,0),IF(A5099="SETOP",VLOOKUP(B5099,#REF!,2,0),IF(A5099="COTAÇÃO",VLOOKUP(B5099,'Mapa Cotações'!$A:$N,2,0)))))),(IF(A5099="SINAPI",VLOOKUP(B5099,#REF!,2,0),IF(A5099="SUDECAP",VLOOKUP(B5099,#REF!,3,0),IF(A5099="SETOP",VLOOKUP(B5099,#REF!,2,0),IF(A5099="COTAÇÃO",VLOOKUP(B5099,'Mapa Cotações'!$A:$N,2,0))))))))</f>
        <v/>
      </c>
      <c r="D5099" s="89" t="str">
        <f>IF(B5099="","",IF($A$8="NÃO DESONERADO",(IF(A5099="SINAPI",VLOOKUP(B5099,#REF!,3,0),IF(A5099="SUDECAP",VLOOKUP(B5099,#REF!,4,0),IF(A5099="SETOP",VLOOKUP(B5099,#REF!,3,0),IF(A5099="COTAÇÃO",VLOOKUP(B5099,'Mapa Cotações'!$A:$N,3,0)))))),(IF(A5099="SINAPI",VLOOKUP(B5099,#REF!,3,0),IF(A5099="SUDECAP",VLOOKUP(B5099,#REF!,4,0),IF(A5099="SETOP",VLOOKUP(B5099,#REF!,3,0),IF(A5099="COTAÇÃO",VLOOKUP(B5099,'Mapa Cotações'!$A:$N,3,0))))))))</f>
        <v/>
      </c>
      <c r="E5099" s="88"/>
      <c r="F5099" s="89" t="str">
        <f>IF(B5099="","",IF($A$8="NÃO DESONERADO",(IF(A5099="SINAPI",VLOOKUP(B5099,#REF!,4,0),IF(A5099="SUDECAP",VLOOKUP(B5099,#REF!,5,0),IF(A5099="SETOP",VLOOKUP(B5099,#REF!,4,0),IF(A5099="COTAÇÃO",VLOOKUP(B5099,'Mapa Cotações'!$A:$N,13,0)))))),(IF(A5099="SINAPI",VLOOKUP(B5099,#REF!,4,0),IF(A5099="SUDECAP",VLOOKUP(B5099,#REF!,5,0),IF(A5099="SETOP",VLOOKUP(B5099,#REF!,4,0),IF(A5099="COTAÇÃO",VLOOKUP(B5099,'Mapa Cotações'!$A:$N,13,0))))))))</f>
        <v/>
      </c>
      <c r="G5099" s="89" t="str">
        <f>IF(D5099="","",E5099*F5099)</f>
        <v/>
      </c>
    </row>
    <row r="5100" spans="1:11">
      <c r="A5100" s="87"/>
      <c r="B5100" s="87"/>
      <c r="C5100" s="278" t="str">
        <f>IF(B5100="","",IF($A$8="NÃO DESONERADO",(IF(A5100="SINAPI",VLOOKUP(B5100,#REF!,2,0),IF(A5100="SUDECAP",VLOOKUP(B5100,#REF!,3,0),IF(A5100="SETOP",VLOOKUP(B5100,#REF!,2,0),IF(A5100="COTAÇÃO",VLOOKUP(B5100,'Mapa Cotações'!$A:$N,2,0)))))),(IF(A5100="SINAPI",VLOOKUP(B5100,#REF!,2,0),IF(A5100="SUDECAP",VLOOKUP(B5100,#REF!,3,0),IF(A5100="SETOP",VLOOKUP(B5100,#REF!,2,0),IF(A5100="COTAÇÃO",VLOOKUP(B5100,'Mapa Cotações'!$A:$N,2,0))))))))</f>
        <v/>
      </c>
      <c r="D5100" s="89" t="str">
        <f>IF(B5100="","",IF($A$8="NÃO DESONERADO",(IF(A5100="SINAPI",VLOOKUP(B5100,#REF!,3,0),IF(A5100="SUDECAP",VLOOKUP(B5100,#REF!,4,0),IF(A5100="SETOP",VLOOKUP(B5100,#REF!,3,0),IF(A5100="COTAÇÃO",VLOOKUP(B5100,'Mapa Cotações'!$A:$N,3,0)))))),(IF(A5100="SINAPI",VLOOKUP(B5100,#REF!,3,0),IF(A5100="SUDECAP",VLOOKUP(B5100,#REF!,4,0),IF(A5100="SETOP",VLOOKUP(B5100,#REF!,3,0),IF(A5100="COTAÇÃO",VLOOKUP(B5100,'Mapa Cotações'!$A:$N,3,0))))))))</f>
        <v/>
      </c>
      <c r="E5100" s="88"/>
      <c r="F5100" s="89" t="str">
        <f>IF(B5100="","",IF($A$8="NÃO DESONERADO",(IF(A5100="SINAPI",VLOOKUP(B5100,#REF!,4,0),IF(A5100="SUDECAP",VLOOKUP(B5100,#REF!,5,0),IF(A5100="SETOP",VLOOKUP(B5100,#REF!,4,0),IF(A5100="COTAÇÃO",VLOOKUP(B5100,'Mapa Cotações'!$A:$N,13,0)))))),(IF(A5100="SINAPI",VLOOKUP(B5100,#REF!,4,0),IF(A5100="SUDECAP",VLOOKUP(B5100,#REF!,5,0),IF(A5100="SETOP",VLOOKUP(B5100,#REF!,4,0),IF(A5100="COTAÇÃO",VLOOKUP(B5100,'Mapa Cotações'!$A:$N,13,0))))))))</f>
        <v/>
      </c>
      <c r="G5100" s="89" t="str">
        <f>IF(D5100="","",E5100*F5100)</f>
        <v/>
      </c>
    </row>
    <row r="5101" spans="1:11">
      <c r="A5101" s="832" t="s">
        <v>1908</v>
      </c>
      <c r="B5101" s="833"/>
      <c r="C5101" s="833"/>
      <c r="D5101" s="833"/>
      <c r="E5101" s="833"/>
      <c r="F5101" s="834"/>
      <c r="G5101" s="90" t="str">
        <f>IF(F5099="","",(SUM(G5099:G5100)))</f>
        <v/>
      </c>
    </row>
    <row r="5102" spans="1:11">
      <c r="A5102" s="91"/>
      <c r="B5102" s="92"/>
      <c r="C5102" s="161"/>
      <c r="D5102" s="93"/>
      <c r="E5102" s="94"/>
      <c r="F5102" s="95"/>
      <c r="G5102" s="96"/>
    </row>
    <row r="5103" spans="1:11">
      <c r="A5103" s="835" t="s">
        <v>1909</v>
      </c>
      <c r="B5103" s="836"/>
      <c r="C5103" s="836"/>
      <c r="D5103" s="836"/>
      <c r="E5103" s="836"/>
      <c r="F5103" s="836"/>
      <c r="G5103" s="837"/>
    </row>
    <row r="5104" spans="1:11">
      <c r="A5104" s="84" t="s">
        <v>1903</v>
      </c>
      <c r="B5104" s="84" t="s">
        <v>131</v>
      </c>
      <c r="C5104" s="160" t="s">
        <v>1904</v>
      </c>
      <c r="D5104" s="84" t="s">
        <v>167</v>
      </c>
      <c r="E5104" s="85" t="s">
        <v>1905</v>
      </c>
      <c r="F5104" s="86" t="s">
        <v>1906</v>
      </c>
      <c r="G5104" s="86" t="s">
        <v>1907</v>
      </c>
    </row>
    <row r="5105" spans="1:11">
      <c r="A5105" s="87"/>
      <c r="B5105" s="87"/>
      <c r="C5105" s="278" t="str">
        <f>IF(B5105="","",IF($A$8="NÃO DESONERADO",(IF(A5105="SINAPI",VLOOKUP(B5105,#REF!,2,0),IF(A5105="SUDECAP",VLOOKUP(B5105,#REF!,3,0),IF(A5105="SETOP",VLOOKUP(B5105,#REF!,2,0),IF(A5105="COTAÇÃO",VLOOKUP(B5105,'Mapa Cotações'!$A:$N,2,0)))))),(IF(A5105="SINAPI",VLOOKUP(B5105,#REF!,2,0),IF(A5105="SUDECAP",VLOOKUP(B5105,#REF!,3,0),IF(A5105="SETOP",VLOOKUP(B5105,#REF!,2,0),IF(A5105="COTAÇÃO",VLOOKUP(B5105,'Mapa Cotações'!$A:$N,2,0))))))))</f>
        <v/>
      </c>
      <c r="D5105" s="89" t="str">
        <f>IF(B5105="","",IF($A$8="NÃO DESONERADO",(IF(A5105="SINAPI",VLOOKUP(B5105,#REF!,3,0),IF(A5105="SUDECAP",VLOOKUP(B5105,#REF!,4,0),IF(A5105="SETOP",VLOOKUP(B5105,#REF!,3,0),IF(A5105="COTAÇÃO",VLOOKUP(B5105,'Mapa Cotações'!$A:$N,3,0)))))),(IF(A5105="SINAPI",VLOOKUP(B5105,#REF!,3,0),IF(A5105="SUDECAP",VLOOKUP(B5105,#REF!,4,0),IF(A5105="SETOP",VLOOKUP(B5105,#REF!,3,0),IF(A5105="COTAÇÃO",VLOOKUP(B5105,'Mapa Cotações'!$A:$N,3,0))))))))</f>
        <v/>
      </c>
      <c r="E5105" s="88"/>
      <c r="F5105" s="89" t="str">
        <f>IF(B5105="","",IF($A$8="NÃO DESONERADO",(IF(A5105="SINAPI",VLOOKUP(B5105,#REF!,4,0),IF(A5105="SUDECAP",VLOOKUP(B5105,#REF!,5,0),IF(A5105="SETOP",VLOOKUP(B5105,#REF!,4,0),IF(A5105="COTAÇÃO",VLOOKUP(B5105,'Mapa Cotações'!$A:$N,13,0)))))),(IF(A5105="SINAPI",VLOOKUP(B5105,#REF!,4,0),IF(A5105="SUDECAP",VLOOKUP(B5105,#REF!,5,0),IF(A5105="SETOP",VLOOKUP(B5105,#REF!,4,0),IF(A5105="COTAÇÃO",VLOOKUP(B5105,'Mapa Cotações'!$A:$N,13,0))))))))</f>
        <v/>
      </c>
      <c r="G5105" s="89" t="str">
        <f>IF(D5105="","",E5105*F5105)</f>
        <v/>
      </c>
    </row>
    <row r="5106" spans="1:11">
      <c r="A5106" s="87"/>
      <c r="B5106" s="87"/>
      <c r="C5106" s="278" t="str">
        <f>IF(B5106="","",IF($A$8="NÃO DESONERADO",(IF(A5106="SINAPI",VLOOKUP(B5106,#REF!,2,0),IF(A5106="SUDECAP",VLOOKUP(B5106,#REF!,3,0),IF(A5106="SETOP",VLOOKUP(B5106,#REF!,2,0),IF(A5106="COTAÇÃO",VLOOKUP(B5106,'Mapa Cotações'!$A:$N,2,0)))))),(IF(A5106="SINAPI",VLOOKUP(B5106,#REF!,2,0),IF(A5106="SUDECAP",VLOOKUP(B5106,#REF!,3,0),IF(A5106="SETOP",VLOOKUP(B5106,#REF!,2,0),IF(A5106="COTAÇÃO",VLOOKUP(B5106,'Mapa Cotações'!$A:$N,2,0))))))))</f>
        <v/>
      </c>
      <c r="D5106" s="89" t="str">
        <f>IF(B5106="","",IF($A$8="NÃO DESONERADO",(IF(A5106="SINAPI",VLOOKUP(B5106,#REF!,3,0),IF(A5106="SUDECAP",VLOOKUP(B5106,#REF!,4,0),IF(A5106="SETOP",VLOOKUP(B5106,#REF!,3,0),IF(A5106="COTAÇÃO",VLOOKUP(B5106,'Mapa Cotações'!$A:$N,3,0)))))),(IF(A5106="SINAPI",VLOOKUP(B5106,#REF!,3,0),IF(A5106="SUDECAP",VLOOKUP(B5106,#REF!,4,0),IF(A5106="SETOP",VLOOKUP(B5106,#REF!,3,0),IF(A5106="COTAÇÃO",VLOOKUP(B5106,'Mapa Cotações'!$A:$N,3,0))))))))</f>
        <v/>
      </c>
      <c r="E5106" s="88"/>
      <c r="F5106" s="89" t="str">
        <f>IF(B5106="","",IF($A$8="NÃO DESONERADO",(IF(A5106="SINAPI",VLOOKUP(B5106,#REF!,4,0),IF(A5106="SUDECAP",VLOOKUP(B5106,#REF!,5,0),IF(A5106="SETOP",VLOOKUP(B5106,#REF!,4,0),IF(A5106="COTAÇÃO",VLOOKUP(B5106,'Mapa Cotações'!$A:$N,13,0)))))),(IF(A5106="SINAPI",VLOOKUP(B5106,#REF!,4,0),IF(A5106="SUDECAP",VLOOKUP(B5106,#REF!,5,0),IF(A5106="SETOP",VLOOKUP(B5106,#REF!,4,0),IF(A5106="COTAÇÃO",VLOOKUP(B5106,'Mapa Cotações'!$A:$N,13,0))))))))</f>
        <v/>
      </c>
      <c r="G5106" s="89" t="str">
        <f>IF(D5106="","",E5106*F5106)</f>
        <v/>
      </c>
    </row>
    <row r="5107" spans="1:11">
      <c r="A5107" s="832" t="s">
        <v>1908</v>
      </c>
      <c r="B5107" s="833"/>
      <c r="C5107" s="833"/>
      <c r="D5107" s="833"/>
      <c r="E5107" s="833"/>
      <c r="F5107" s="834"/>
      <c r="G5107" s="90" t="str">
        <f>IF(F5105="","",(SUM(G5105:G5106)))</f>
        <v/>
      </c>
    </row>
    <row r="5108" spans="1:11">
      <c r="A5108" s="91"/>
      <c r="B5108" s="92"/>
      <c r="C5108" s="162"/>
      <c r="D5108" s="92"/>
      <c r="E5108" s="97"/>
      <c r="F5108" s="98"/>
      <c r="G5108" s="96"/>
    </row>
    <row r="5109" spans="1:11">
      <c r="A5109" s="835" t="s">
        <v>1912</v>
      </c>
      <c r="B5109" s="836"/>
      <c r="C5109" s="836"/>
      <c r="D5109" s="836"/>
      <c r="E5109" s="836"/>
      <c r="F5109" s="836"/>
      <c r="G5109" s="837"/>
    </row>
    <row r="5110" spans="1:11">
      <c r="A5110" s="84" t="s">
        <v>1903</v>
      </c>
      <c r="B5110" s="84" t="s">
        <v>131</v>
      </c>
      <c r="C5110" s="160" t="s">
        <v>1904</v>
      </c>
      <c r="D5110" s="84" t="s">
        <v>167</v>
      </c>
      <c r="E5110" s="85" t="s">
        <v>1905</v>
      </c>
      <c r="F5110" s="86" t="s">
        <v>1906</v>
      </c>
      <c r="G5110" s="86" t="s">
        <v>1907</v>
      </c>
    </row>
    <row r="5111" spans="1:11" ht="36">
      <c r="A5111" s="87" t="s">
        <v>3</v>
      </c>
      <c r="B5111" s="87" t="s">
        <v>880</v>
      </c>
      <c r="C5111" s="278" t="s">
        <v>881</v>
      </c>
      <c r="D5111" s="89" t="s">
        <v>1932</v>
      </c>
      <c r="E5111" s="88">
        <v>1</v>
      </c>
      <c r="F5111" s="89">
        <v>5.14</v>
      </c>
      <c r="G5111" s="89">
        <f>IF(D5111="","",E5111*F5111)</f>
        <v>5.14</v>
      </c>
    </row>
    <row r="5112" spans="1:11" ht="36">
      <c r="A5112" s="87" t="s">
        <v>3</v>
      </c>
      <c r="B5112" s="87" t="s">
        <v>883</v>
      </c>
      <c r="C5112" s="278" t="s">
        <v>884</v>
      </c>
      <c r="D5112" s="89" t="s">
        <v>1932</v>
      </c>
      <c r="E5112" s="88">
        <v>1</v>
      </c>
      <c r="F5112" s="89">
        <v>7.32</v>
      </c>
      <c r="G5112" s="89">
        <f>IF(D5112="","",E5112*F5112)</f>
        <v>7.32</v>
      </c>
    </row>
    <row r="5113" spans="1:11">
      <c r="A5113" s="832" t="s">
        <v>1908</v>
      </c>
      <c r="B5113" s="833" t="s">
        <v>1908</v>
      </c>
      <c r="C5113" s="833"/>
      <c r="D5113" s="833"/>
      <c r="E5113" s="833"/>
      <c r="F5113" s="834"/>
      <c r="G5113" s="90">
        <f>IF(F5111="","",(SUM(G5111:G5112)))</f>
        <v>12.46</v>
      </c>
    </row>
    <row r="5114" spans="1:11" ht="13.5" thickBot="1">
      <c r="A5114" s="91"/>
      <c r="B5114" s="92"/>
      <c r="C5114" s="163"/>
      <c r="D5114" s="99"/>
      <c r="E5114" s="100"/>
      <c r="F5114" s="101"/>
      <c r="G5114" s="102"/>
    </row>
    <row r="5115" spans="1:11" ht="13.5" thickBot="1">
      <c r="A5115" s="838" t="s">
        <v>1259</v>
      </c>
      <c r="B5115" s="839"/>
      <c r="C5115" s="839"/>
      <c r="D5115" s="839"/>
      <c r="E5115" s="839"/>
      <c r="F5115" s="840"/>
      <c r="G5115" s="103">
        <f>SUM(G5101,G5107,G5113)</f>
        <v>12.46</v>
      </c>
    </row>
    <row r="5118" spans="1:11">
      <c r="A5118" s="237" t="s">
        <v>131</v>
      </c>
      <c r="B5118" s="190" t="s">
        <v>27</v>
      </c>
      <c r="C5118" s="841" t="s">
        <v>1281</v>
      </c>
      <c r="D5118" s="841"/>
      <c r="E5118" s="841"/>
      <c r="F5118" s="841"/>
      <c r="G5118" s="81" t="s">
        <v>127</v>
      </c>
      <c r="I5118" s="480" t="s">
        <v>1901</v>
      </c>
      <c r="J5118" s="80"/>
      <c r="K5118" s="80"/>
    </row>
    <row r="5119" spans="1:11" ht="50.1" customHeight="1">
      <c r="A5119" s="179" t="s">
        <v>963</v>
      </c>
      <c r="B5119" s="82"/>
      <c r="C5119" s="830" t="s">
        <v>964</v>
      </c>
      <c r="D5119" s="831"/>
      <c r="E5119" s="831"/>
      <c r="F5119" s="186">
        <f>G5138</f>
        <v>45545.851211000001</v>
      </c>
      <c r="G5119" s="83" t="s">
        <v>167</v>
      </c>
      <c r="I5119" s="481"/>
      <c r="J5119" s="272"/>
      <c r="K5119" s="272"/>
    </row>
    <row r="5120" spans="1:11">
      <c r="A5120" s="818" t="s">
        <v>1902</v>
      </c>
      <c r="B5120" s="819"/>
      <c r="C5120" s="819"/>
      <c r="D5120" s="819"/>
      <c r="E5120" s="819"/>
      <c r="F5120" s="819"/>
      <c r="G5120" s="820"/>
    </row>
    <row r="5121" spans="1:7">
      <c r="A5121" s="84" t="s">
        <v>1903</v>
      </c>
      <c r="B5121" s="84" t="s">
        <v>131</v>
      </c>
      <c r="C5121" s="160" t="s">
        <v>1904</v>
      </c>
      <c r="D5121" s="84" t="s">
        <v>167</v>
      </c>
      <c r="E5121" s="85" t="s">
        <v>1905</v>
      </c>
      <c r="F5121" s="86" t="s">
        <v>1906</v>
      </c>
      <c r="G5121" s="86" t="s">
        <v>1907</v>
      </c>
    </row>
    <row r="5122" spans="1:7">
      <c r="A5122" s="87" t="s">
        <v>1917</v>
      </c>
      <c r="B5122" s="87" t="s">
        <v>2248</v>
      </c>
      <c r="C5122" s="278" t="str">
        <f>IF(B5122="","",IF($A$8="NÃO DESONERADO",(IF(A5122="SINAPI",VLOOKUP(B5122,#REF!,2,0),IF(A5122="SUDECAP",VLOOKUP(B5122,#REF!,3,0),IF(A5122="SETOP",VLOOKUP(B5122,#REF!,2,0),IF(A5122="COTAÇÃO",VLOOKUP(B5122,'Mapa Cotações'!$A:$N,2,0)))))),(IF(A5122="SINAPI",VLOOKUP(B5122,#REF!,2,0),IF(A5122="SUDECAP",VLOOKUP(B5122,#REF!,3,0),IF(A5122="SETOP",VLOOKUP(B5122,#REF!,2,0),IF(A5122="COTAÇÃO",VLOOKUP(B5122,'Mapa Cotações'!$A:$N,2,0))))))))</f>
        <v>QUADRO ELÉTRICO DE EMBUTIR QGBT-3PB</v>
      </c>
      <c r="D5122" s="89" t="str">
        <f>IF(B5122="","",IF($A$8="NÃO DESONERADO",(IF(A5122="SINAPI",VLOOKUP(B5122,#REF!,3,0),IF(A5122="SUDECAP",VLOOKUP(B5122,#REF!,4,0),IF(A5122="SETOP",VLOOKUP(B5122,#REF!,3,0),IF(A5122="COTAÇÃO",VLOOKUP(B5122,'Mapa Cotações'!$A:$N,3,0)))))),(IF(A5122="SINAPI",VLOOKUP(B5122,#REF!,3,0),IF(A5122="SUDECAP",VLOOKUP(B5122,#REF!,4,0),IF(A5122="SETOP",VLOOKUP(B5122,#REF!,3,0),IF(A5122="COTAÇÃO",VLOOKUP(B5122,'Mapa Cotações'!$A:$N,3,0))))))))</f>
        <v>UN</v>
      </c>
      <c r="E5122" s="88">
        <v>1</v>
      </c>
      <c r="F5122" s="89">
        <f>IF(B5122="","",IF($A$8="NÃO DESONERADO",(IF(A5122="SINAPI",VLOOKUP(B5122,#REF!,4,0),IF(A5122="SUDECAP",VLOOKUP(B5122,#REF!,5,0),IF(A5122="SETOP",VLOOKUP(B5122,#REF!,4,0),IF(A5122="COTAÇÃO",VLOOKUP(B5122,'Mapa Cotações'!$A:$N,13,0)))))),(IF(A5122="SINAPI",VLOOKUP(B5122,#REF!,4,0),IF(A5122="SUDECAP",VLOOKUP(B5122,#REF!,5,0),IF(A5122="SETOP",VLOOKUP(B5122,#REF!,4,0),IF(A5122="COTAÇÃO",VLOOKUP(B5122,'Mapa Cotações'!$A:$N,13,0))))))))</f>
        <v>45500</v>
      </c>
      <c r="G5122" s="89">
        <f>IF(D5122="","",E5122*F5122)</f>
        <v>45500</v>
      </c>
    </row>
    <row r="5123" spans="1:7">
      <c r="A5123" s="87"/>
      <c r="B5123" s="87"/>
      <c r="C5123" s="278" t="str">
        <f>IF(B5123="","",IF($A$8="NÃO DESONERADO",(IF(A5123="SINAPI",VLOOKUP(B5123,#REF!,2,0),IF(A5123="SUDECAP",VLOOKUP(B5123,#REF!,3,0),IF(A5123="SETOP",VLOOKUP(B5123,#REF!,2,0),IF(A5123="COTAÇÃO",VLOOKUP(B5123,'Mapa Cotações'!$A:$N,2,0)))))),(IF(A5123="SINAPI",VLOOKUP(B5123,#REF!,2,0),IF(A5123="SUDECAP",VLOOKUP(B5123,#REF!,3,0),IF(A5123="SETOP",VLOOKUP(B5123,#REF!,2,0),IF(A5123="COTAÇÃO",VLOOKUP(B5123,'Mapa Cotações'!$A:$N,2,0))))))))</f>
        <v/>
      </c>
      <c r="D5123" s="89" t="str">
        <f>IF(B5123="","",IF($A$8="NÃO DESONERADO",(IF(A5123="SINAPI",VLOOKUP(B5123,#REF!,3,0),IF(A5123="SUDECAP",VLOOKUP(B5123,#REF!,4,0),IF(A5123="SETOP",VLOOKUP(B5123,#REF!,3,0),IF(A5123="COTAÇÃO",VLOOKUP(B5123,'Mapa Cotações'!$A:$N,3,0)))))),(IF(A5123="SINAPI",VLOOKUP(B5123,#REF!,3,0),IF(A5123="SUDECAP",VLOOKUP(B5123,#REF!,4,0),IF(A5123="SETOP",VLOOKUP(B5123,#REF!,3,0),IF(A5123="COTAÇÃO",VLOOKUP(B5123,'Mapa Cotações'!$A:$N,3,0))))))))</f>
        <v/>
      </c>
      <c r="E5123" s="88"/>
      <c r="F5123" s="89" t="str">
        <f>IF(B5123="","",IF($A$8="NÃO DESONERADO",(IF(A5123="SINAPI",VLOOKUP(B5123,#REF!,4,0),IF(A5123="SUDECAP",VLOOKUP(B5123,#REF!,5,0),IF(A5123="SETOP",VLOOKUP(B5123,#REF!,4,0),IF(A5123="COTAÇÃO",VLOOKUP(B5123,'Mapa Cotações'!$A:$N,13,0)))))),(IF(A5123="SINAPI",VLOOKUP(B5123,#REF!,4,0),IF(A5123="SUDECAP",VLOOKUP(B5123,#REF!,5,0),IF(A5123="SETOP",VLOOKUP(B5123,#REF!,4,0),IF(A5123="COTAÇÃO",VLOOKUP(B5123,'Mapa Cotações'!$A:$N,13,0))))))))</f>
        <v/>
      </c>
      <c r="G5123" s="89" t="str">
        <f>IF(D5123="","",E5123*F5123)</f>
        <v/>
      </c>
    </row>
    <row r="5124" spans="1:7">
      <c r="A5124" s="832" t="s">
        <v>1908</v>
      </c>
      <c r="B5124" s="833"/>
      <c r="C5124" s="833"/>
      <c r="D5124" s="833"/>
      <c r="E5124" s="833"/>
      <c r="F5124" s="834"/>
      <c r="G5124" s="90">
        <f>IF(F5122="","",(SUM(G5122:G5123)))</f>
        <v>45500</v>
      </c>
    </row>
    <row r="5125" spans="1:7">
      <c r="A5125" s="91"/>
      <c r="B5125" s="92"/>
      <c r="C5125" s="161"/>
      <c r="D5125" s="93"/>
      <c r="E5125" s="94"/>
      <c r="F5125" s="95"/>
      <c r="G5125" s="96"/>
    </row>
    <row r="5126" spans="1:7">
      <c r="A5126" s="835" t="s">
        <v>1909</v>
      </c>
      <c r="B5126" s="836"/>
      <c r="C5126" s="836"/>
      <c r="D5126" s="836"/>
      <c r="E5126" s="836"/>
      <c r="F5126" s="836"/>
      <c r="G5126" s="837"/>
    </row>
    <row r="5127" spans="1:7">
      <c r="A5127" s="84" t="s">
        <v>1903</v>
      </c>
      <c r="B5127" s="84" t="s">
        <v>131</v>
      </c>
      <c r="C5127" s="160" t="s">
        <v>1904</v>
      </c>
      <c r="D5127" s="84" t="s">
        <v>167</v>
      </c>
      <c r="E5127" s="85" t="s">
        <v>1905</v>
      </c>
      <c r="F5127" s="86" t="s">
        <v>1906</v>
      </c>
      <c r="G5127" s="86" t="s">
        <v>1907</v>
      </c>
    </row>
    <row r="5128" spans="1:7">
      <c r="A5128" s="87" t="s">
        <v>2</v>
      </c>
      <c r="B5128" s="87">
        <v>88264</v>
      </c>
      <c r="C5128" s="278" t="s">
        <v>1910</v>
      </c>
      <c r="D5128" s="89" t="s">
        <v>2087</v>
      </c>
      <c r="E5128" s="88">
        <v>0.63839999999999997</v>
      </c>
      <c r="F5128" s="89">
        <v>28.54</v>
      </c>
      <c r="G5128" s="89">
        <f>IF(D5128="","",E5128*F5128)</f>
        <v>18.219935999999997</v>
      </c>
    </row>
    <row r="5129" spans="1:7" ht="24">
      <c r="A5129" s="87" t="s">
        <v>2</v>
      </c>
      <c r="B5129" s="87">
        <v>88247</v>
      </c>
      <c r="C5129" s="473" t="s">
        <v>1911</v>
      </c>
      <c r="D5129" s="89" t="s">
        <v>2087</v>
      </c>
      <c r="E5129" s="88">
        <v>0.63839999999999997</v>
      </c>
      <c r="F5129" s="89">
        <v>23.03</v>
      </c>
      <c r="G5129" s="89">
        <f>IF(D5129="","",E5129*F5129)</f>
        <v>14.702351999999999</v>
      </c>
    </row>
    <row r="5130" spans="1:7">
      <c r="A5130" s="832" t="s">
        <v>1908</v>
      </c>
      <c r="B5130" s="833"/>
      <c r="C5130" s="833"/>
      <c r="D5130" s="833"/>
      <c r="E5130" s="833"/>
      <c r="F5130" s="834"/>
      <c r="G5130" s="90">
        <f>IF(F5128="","",(SUM(G5128:G5129)))</f>
        <v>32.922287999999995</v>
      </c>
    </row>
    <row r="5131" spans="1:7">
      <c r="A5131" s="91"/>
      <c r="B5131" s="92"/>
      <c r="C5131" s="162"/>
      <c r="D5131" s="92"/>
      <c r="E5131" s="97"/>
      <c r="F5131" s="98"/>
      <c r="G5131" s="96"/>
    </row>
    <row r="5132" spans="1:7">
      <c r="A5132" s="835" t="s">
        <v>1912</v>
      </c>
      <c r="B5132" s="836"/>
      <c r="C5132" s="836"/>
      <c r="D5132" s="836"/>
      <c r="E5132" s="836"/>
      <c r="F5132" s="836"/>
      <c r="G5132" s="837"/>
    </row>
    <row r="5133" spans="1:7">
      <c r="A5133" s="84" t="s">
        <v>1903</v>
      </c>
      <c r="B5133" s="84" t="s">
        <v>131</v>
      </c>
      <c r="C5133" s="160" t="s">
        <v>1904</v>
      </c>
      <c r="D5133" s="84" t="s">
        <v>167</v>
      </c>
      <c r="E5133" s="85" t="s">
        <v>1905</v>
      </c>
      <c r="F5133" s="86" t="s">
        <v>1906</v>
      </c>
      <c r="G5133" s="86" t="s">
        <v>1907</v>
      </c>
    </row>
    <row r="5134" spans="1:7" ht="48">
      <c r="A5134" s="87" t="s">
        <v>2</v>
      </c>
      <c r="B5134" s="87">
        <v>87367</v>
      </c>
      <c r="C5134" s="278" t="s">
        <v>1934</v>
      </c>
      <c r="D5134" s="89" t="s">
        <v>2249</v>
      </c>
      <c r="E5134" s="88">
        <v>1.89E-2</v>
      </c>
      <c r="F5134" s="89">
        <v>684.07</v>
      </c>
      <c r="G5134" s="89">
        <f>IF(D5134="","",E5134*F5134)</f>
        <v>12.928923000000001</v>
      </c>
    </row>
    <row r="5135" spans="1:7">
      <c r="A5135" s="87"/>
      <c r="B5135" s="87"/>
      <c r="C5135" s="278" t="str">
        <f>IF(B5135="","",IF($A$8="NÃO DESONERADO",(IF(A5135="SINAPI",VLOOKUP(B5135,#REF!,2,0),IF(A5135="SUDECAP",VLOOKUP(B5135,#REF!,3,0),IF(A5135="SETOP",VLOOKUP(B5135,#REF!,2,0),IF(A5135="COTAÇÃO",VLOOKUP(B5135,'Mapa Cotações'!$A:$N,2,0)))))),(IF(A5135="SINAPI",VLOOKUP(B5135,#REF!,2,0),IF(A5135="SUDECAP",VLOOKUP(B5135,#REF!,3,0),IF(A5135="SETOP",VLOOKUP(B5135,#REF!,2,0),IF(A5135="COTAÇÃO",VLOOKUP(B5135,'Mapa Cotações'!$A:$N,2,0))))))))</f>
        <v/>
      </c>
      <c r="D5135" s="89" t="str">
        <f>IF(B5135="","",IF($A$8="NÃO DESONERADO",(IF(A5135="SINAPI",VLOOKUP(B5135,#REF!,3,0),IF(A5135="SUDECAP",VLOOKUP(B5135,#REF!,4,0),IF(A5135="SETOP",VLOOKUP(B5135,#REF!,3,0),IF(A5135="COTAÇÃO",VLOOKUP(B5135,'Mapa Cotações'!$A:$N,3,0)))))),(IF(A5135="SINAPI",VLOOKUP(B5135,#REF!,3,0),IF(A5135="SUDECAP",VLOOKUP(B5135,#REF!,4,0),IF(A5135="SETOP",VLOOKUP(B5135,#REF!,3,0),IF(A5135="COTAÇÃO",VLOOKUP(B5135,'Mapa Cotações'!$A:$N,3,0))))))))</f>
        <v/>
      </c>
      <c r="E5135" s="88"/>
      <c r="F5135" s="89" t="str">
        <f>IF(B5135="","",IF($A$8="NÃO DESONERADO",(IF(A5135="SINAPI",VLOOKUP(B5135,#REF!,4,0),IF(A5135="SUDECAP",VLOOKUP(B5135,#REF!,5,0),IF(A5135="SETOP",VLOOKUP(B5135,#REF!,4,0),IF(A5135="COTAÇÃO",VLOOKUP(B5135,'Mapa Cotações'!$A:$N,13,0)))))),(IF(A5135="SINAPI",VLOOKUP(B5135,#REF!,4,0),IF(A5135="SUDECAP",VLOOKUP(B5135,#REF!,5,0),IF(A5135="SETOP",VLOOKUP(B5135,#REF!,4,0),IF(A5135="COTAÇÃO",VLOOKUP(B5135,'Mapa Cotações'!$A:$N,13,0))))))))</f>
        <v/>
      </c>
      <c r="G5135" s="89" t="str">
        <f>IF(D5135="","",E5135*F5135)</f>
        <v/>
      </c>
    </row>
    <row r="5136" spans="1:7">
      <c r="A5136" s="832" t="s">
        <v>1908</v>
      </c>
      <c r="B5136" s="833" t="s">
        <v>1908</v>
      </c>
      <c r="C5136" s="833"/>
      <c r="D5136" s="833"/>
      <c r="E5136" s="833"/>
      <c r="F5136" s="834"/>
      <c r="G5136" s="90">
        <f>IF(F5134="","",(SUM(G5134:G5135)))</f>
        <v>12.928923000000001</v>
      </c>
    </row>
    <row r="5137" spans="1:11" ht="13.5" thickBot="1">
      <c r="A5137" s="91"/>
      <c r="B5137" s="92"/>
      <c r="C5137" s="163"/>
      <c r="D5137" s="99"/>
      <c r="E5137" s="100"/>
      <c r="F5137" s="101"/>
      <c r="G5137" s="102"/>
    </row>
    <row r="5138" spans="1:11" ht="13.5" thickBot="1">
      <c r="A5138" s="838" t="s">
        <v>1259</v>
      </c>
      <c r="B5138" s="839"/>
      <c r="C5138" s="839"/>
      <c r="D5138" s="839"/>
      <c r="E5138" s="839"/>
      <c r="F5138" s="840"/>
      <c r="G5138" s="103">
        <f>SUM(G5124,G5130,G5136)</f>
        <v>45545.851211000001</v>
      </c>
    </row>
    <row r="5141" spans="1:11">
      <c r="A5141" s="237" t="s">
        <v>131</v>
      </c>
      <c r="B5141" s="190" t="s">
        <v>27</v>
      </c>
      <c r="C5141" s="841" t="s">
        <v>1281</v>
      </c>
      <c r="D5141" s="841"/>
      <c r="E5141" s="841"/>
      <c r="F5141" s="841"/>
      <c r="G5141" s="81" t="s">
        <v>127</v>
      </c>
      <c r="I5141" s="480" t="s">
        <v>1901</v>
      </c>
      <c r="J5141" s="80"/>
      <c r="K5141" s="80"/>
    </row>
    <row r="5142" spans="1:11" ht="50.1" customHeight="1">
      <c r="A5142" s="179" t="s">
        <v>966</v>
      </c>
      <c r="B5142" s="82"/>
      <c r="C5142" s="830" t="s">
        <v>967</v>
      </c>
      <c r="D5142" s="831"/>
      <c r="E5142" s="831"/>
      <c r="F5142" s="186">
        <f>G5161</f>
        <v>17895.851211000001</v>
      </c>
      <c r="G5142" s="83" t="s">
        <v>167</v>
      </c>
      <c r="I5142" s="481"/>
      <c r="J5142" s="272"/>
      <c r="K5142" s="272"/>
    </row>
    <row r="5143" spans="1:11">
      <c r="A5143" s="818" t="s">
        <v>1902</v>
      </c>
      <c r="B5143" s="819"/>
      <c r="C5143" s="819"/>
      <c r="D5143" s="819"/>
      <c r="E5143" s="819"/>
      <c r="F5143" s="819"/>
      <c r="G5143" s="820"/>
    </row>
    <row r="5144" spans="1:11">
      <c r="A5144" s="84" t="s">
        <v>1903</v>
      </c>
      <c r="B5144" s="84" t="s">
        <v>131</v>
      </c>
      <c r="C5144" s="160" t="s">
        <v>1904</v>
      </c>
      <c r="D5144" s="84" t="s">
        <v>167</v>
      </c>
      <c r="E5144" s="85" t="s">
        <v>1905</v>
      </c>
      <c r="F5144" s="86" t="s">
        <v>1906</v>
      </c>
      <c r="G5144" s="86" t="s">
        <v>1907</v>
      </c>
    </row>
    <row r="5145" spans="1:11">
      <c r="A5145" s="87" t="s">
        <v>1917</v>
      </c>
      <c r="B5145" s="87" t="s">
        <v>2250</v>
      </c>
      <c r="C5145" s="278" t="str">
        <f>IF(B5145="","",IF($A$8="NÃO DESONERADO",(IF(A5145="SINAPI",VLOOKUP(B5145,#REF!,2,0),IF(A5145="SUDECAP",VLOOKUP(B5145,#REF!,3,0),IF(A5145="SETOP",VLOOKUP(B5145,#REF!,2,0),IF(A5145="COTAÇÃO",VLOOKUP(B5145,'Mapa Cotações'!$A:$N,2,0)))))),(IF(A5145="SINAPI",VLOOKUP(B5145,#REF!,2,0),IF(A5145="SUDECAP",VLOOKUP(B5145,#REF!,3,0),IF(A5145="SETOP",VLOOKUP(B5145,#REF!,2,0),IF(A5145="COTAÇÃO",VLOOKUP(B5145,'Mapa Cotações'!$A:$N,2,0))))))))</f>
        <v>QUADRO ELÉTRICO DE EMBUTIR QGBT-TOM-3PB</v>
      </c>
      <c r="D5145" s="89" t="str">
        <f>IF(B5145="","",IF($A$8="NÃO DESONERADO",(IF(A5145="SINAPI",VLOOKUP(B5145,#REF!,3,0),IF(A5145="SUDECAP",VLOOKUP(B5145,#REF!,4,0),IF(A5145="SETOP",VLOOKUP(B5145,#REF!,3,0),IF(A5145="COTAÇÃO",VLOOKUP(B5145,'Mapa Cotações'!$A:$N,3,0)))))),(IF(A5145="SINAPI",VLOOKUP(B5145,#REF!,3,0),IF(A5145="SUDECAP",VLOOKUP(B5145,#REF!,4,0),IF(A5145="SETOP",VLOOKUP(B5145,#REF!,3,0),IF(A5145="COTAÇÃO",VLOOKUP(B5145,'Mapa Cotações'!$A:$N,3,0))))))))</f>
        <v>UN</v>
      </c>
      <c r="E5145" s="88">
        <v>1</v>
      </c>
      <c r="F5145" s="89">
        <f>IF(B5145="","",IF($A$8="NÃO DESONERADO",(IF(A5145="SINAPI",VLOOKUP(B5145,#REF!,4,0),IF(A5145="SUDECAP",VLOOKUP(B5145,#REF!,5,0),IF(A5145="SETOP",VLOOKUP(B5145,#REF!,4,0),IF(A5145="COTAÇÃO",VLOOKUP(B5145,'Mapa Cotações'!$A:$N,13,0)))))),(IF(A5145="SINAPI",VLOOKUP(B5145,#REF!,4,0),IF(A5145="SUDECAP",VLOOKUP(B5145,#REF!,5,0),IF(A5145="SETOP",VLOOKUP(B5145,#REF!,4,0),IF(A5145="COTAÇÃO",VLOOKUP(B5145,'Mapa Cotações'!$A:$N,13,0))))))))</f>
        <v>17850</v>
      </c>
      <c r="G5145" s="89">
        <f>IF(D5145="","",E5145*F5145)</f>
        <v>17850</v>
      </c>
    </row>
    <row r="5146" spans="1:11">
      <c r="A5146" s="87"/>
      <c r="B5146" s="87"/>
      <c r="C5146" s="278" t="str">
        <f>IF(B5146="","",IF($A$8="NÃO DESONERADO",(IF(A5146="SINAPI",VLOOKUP(B5146,#REF!,2,0),IF(A5146="SUDECAP",VLOOKUP(B5146,#REF!,3,0),IF(A5146="SETOP",VLOOKUP(B5146,#REF!,2,0),IF(A5146="COTAÇÃO",VLOOKUP(B5146,'Mapa Cotações'!$A:$N,2,0)))))),(IF(A5146="SINAPI",VLOOKUP(B5146,#REF!,2,0),IF(A5146="SUDECAP",VLOOKUP(B5146,#REF!,3,0),IF(A5146="SETOP",VLOOKUP(B5146,#REF!,2,0),IF(A5146="COTAÇÃO",VLOOKUP(B5146,'Mapa Cotações'!$A:$N,2,0))))))))</f>
        <v/>
      </c>
      <c r="D5146" s="89" t="str">
        <f>IF(B5146="","",IF($A$8="NÃO DESONERADO",(IF(A5146="SINAPI",VLOOKUP(B5146,#REF!,3,0),IF(A5146="SUDECAP",VLOOKUP(B5146,#REF!,4,0),IF(A5146="SETOP",VLOOKUP(B5146,#REF!,3,0),IF(A5146="COTAÇÃO",VLOOKUP(B5146,'Mapa Cotações'!$A:$N,3,0)))))),(IF(A5146="SINAPI",VLOOKUP(B5146,#REF!,3,0),IF(A5146="SUDECAP",VLOOKUP(B5146,#REF!,4,0),IF(A5146="SETOP",VLOOKUP(B5146,#REF!,3,0),IF(A5146="COTAÇÃO",VLOOKUP(B5146,'Mapa Cotações'!$A:$N,3,0))))))))</f>
        <v/>
      </c>
      <c r="E5146" s="88"/>
      <c r="F5146" s="89" t="str">
        <f>IF(B5146="","",IF($A$8="NÃO DESONERADO",(IF(A5146="SINAPI",VLOOKUP(B5146,#REF!,4,0),IF(A5146="SUDECAP",VLOOKUP(B5146,#REF!,5,0),IF(A5146="SETOP",VLOOKUP(B5146,#REF!,4,0),IF(A5146="COTAÇÃO",VLOOKUP(B5146,'Mapa Cotações'!$A:$N,13,0)))))),(IF(A5146="SINAPI",VLOOKUP(B5146,#REF!,4,0),IF(A5146="SUDECAP",VLOOKUP(B5146,#REF!,5,0),IF(A5146="SETOP",VLOOKUP(B5146,#REF!,4,0),IF(A5146="COTAÇÃO",VLOOKUP(B5146,'Mapa Cotações'!$A:$N,13,0))))))))</f>
        <v/>
      </c>
      <c r="G5146" s="89" t="str">
        <f>IF(D5146="","",E5146*F5146)</f>
        <v/>
      </c>
    </row>
    <row r="5147" spans="1:11">
      <c r="A5147" s="832" t="s">
        <v>1908</v>
      </c>
      <c r="B5147" s="833"/>
      <c r="C5147" s="833"/>
      <c r="D5147" s="833"/>
      <c r="E5147" s="833"/>
      <c r="F5147" s="834"/>
      <c r="G5147" s="90">
        <f>IF(F5145="","",(SUM(G5145:G5146)))</f>
        <v>17850</v>
      </c>
    </row>
    <row r="5148" spans="1:11">
      <c r="A5148" s="91"/>
      <c r="B5148" s="92"/>
      <c r="C5148" s="161"/>
      <c r="D5148" s="93"/>
      <c r="E5148" s="94"/>
      <c r="F5148" s="95"/>
      <c r="G5148" s="96"/>
    </row>
    <row r="5149" spans="1:11">
      <c r="A5149" s="835" t="s">
        <v>1909</v>
      </c>
      <c r="B5149" s="836"/>
      <c r="C5149" s="836"/>
      <c r="D5149" s="836"/>
      <c r="E5149" s="836"/>
      <c r="F5149" s="836"/>
      <c r="G5149" s="837"/>
    </row>
    <row r="5150" spans="1:11">
      <c r="A5150" s="84" t="s">
        <v>1903</v>
      </c>
      <c r="B5150" s="84" t="s">
        <v>131</v>
      </c>
      <c r="C5150" s="160" t="s">
        <v>1904</v>
      </c>
      <c r="D5150" s="84" t="s">
        <v>167</v>
      </c>
      <c r="E5150" s="85" t="s">
        <v>1905</v>
      </c>
      <c r="F5150" s="86" t="s">
        <v>1906</v>
      </c>
      <c r="G5150" s="86" t="s">
        <v>1907</v>
      </c>
    </row>
    <row r="5151" spans="1:11">
      <c r="A5151" s="87" t="s">
        <v>2</v>
      </c>
      <c r="B5151" s="87">
        <v>88264</v>
      </c>
      <c r="C5151" s="278" t="s">
        <v>1910</v>
      </c>
      <c r="D5151" s="89" t="s">
        <v>2087</v>
      </c>
      <c r="E5151" s="88">
        <v>0.63839999999999997</v>
      </c>
      <c r="F5151" s="89">
        <v>28.54</v>
      </c>
      <c r="G5151" s="89">
        <f>IF(D5151="","",E5151*F5151)</f>
        <v>18.219935999999997</v>
      </c>
    </row>
    <row r="5152" spans="1:11" ht="24">
      <c r="A5152" s="87" t="s">
        <v>2</v>
      </c>
      <c r="B5152" s="87">
        <v>88247</v>
      </c>
      <c r="C5152" s="473" t="s">
        <v>1911</v>
      </c>
      <c r="D5152" s="89" t="s">
        <v>2087</v>
      </c>
      <c r="E5152" s="88">
        <v>0.63839999999999997</v>
      </c>
      <c r="F5152" s="89">
        <v>23.03</v>
      </c>
      <c r="G5152" s="89">
        <f>IF(D5152="","",E5152*F5152)</f>
        <v>14.702351999999999</v>
      </c>
    </row>
    <row r="5153" spans="1:11">
      <c r="A5153" s="832" t="s">
        <v>1908</v>
      </c>
      <c r="B5153" s="833"/>
      <c r="C5153" s="833"/>
      <c r="D5153" s="833"/>
      <c r="E5153" s="833"/>
      <c r="F5153" s="834"/>
      <c r="G5153" s="90">
        <f>IF(F5151="","",(SUM(G5151:G5152)))</f>
        <v>32.922287999999995</v>
      </c>
    </row>
    <row r="5154" spans="1:11">
      <c r="A5154" s="91"/>
      <c r="B5154" s="92"/>
      <c r="C5154" s="162"/>
      <c r="D5154" s="92"/>
      <c r="E5154" s="97"/>
      <c r="F5154" s="98"/>
      <c r="G5154" s="96"/>
    </row>
    <row r="5155" spans="1:11">
      <c r="A5155" s="835" t="s">
        <v>1912</v>
      </c>
      <c r="B5155" s="836"/>
      <c r="C5155" s="836"/>
      <c r="D5155" s="836"/>
      <c r="E5155" s="836"/>
      <c r="F5155" s="836"/>
      <c r="G5155" s="837"/>
    </row>
    <row r="5156" spans="1:11">
      <c r="A5156" s="84" t="s">
        <v>1903</v>
      </c>
      <c r="B5156" s="84" t="s">
        <v>131</v>
      </c>
      <c r="C5156" s="160" t="s">
        <v>1904</v>
      </c>
      <c r="D5156" s="84" t="s">
        <v>167</v>
      </c>
      <c r="E5156" s="85" t="s">
        <v>1905</v>
      </c>
      <c r="F5156" s="86" t="s">
        <v>1906</v>
      </c>
      <c r="G5156" s="86" t="s">
        <v>1907</v>
      </c>
    </row>
    <row r="5157" spans="1:11" ht="48">
      <c r="A5157" s="87" t="s">
        <v>2</v>
      </c>
      <c r="B5157" s="87">
        <v>87367</v>
      </c>
      <c r="C5157" s="278" t="s">
        <v>1934</v>
      </c>
      <c r="D5157" s="89" t="s">
        <v>2249</v>
      </c>
      <c r="E5157" s="88">
        <v>1.89E-2</v>
      </c>
      <c r="F5157" s="89">
        <v>684.07</v>
      </c>
      <c r="G5157" s="89">
        <f>IF(D5157="","",E5157*F5157)</f>
        <v>12.928923000000001</v>
      </c>
    </row>
    <row r="5158" spans="1:11">
      <c r="A5158" s="87"/>
      <c r="B5158" s="87"/>
      <c r="C5158" s="278" t="str">
        <f>IF(B5158="","",IF($A$8="NÃO DESONERADO",(IF(A5158="SINAPI",VLOOKUP(B5158,#REF!,2,0),IF(A5158="SUDECAP",VLOOKUP(B5158,#REF!,3,0),IF(A5158="SETOP",VLOOKUP(B5158,#REF!,2,0),IF(A5158="COTAÇÃO",VLOOKUP(B5158,'Mapa Cotações'!$A:$N,2,0)))))),(IF(A5158="SINAPI",VLOOKUP(B5158,#REF!,2,0),IF(A5158="SUDECAP",VLOOKUP(B5158,#REF!,3,0),IF(A5158="SETOP",VLOOKUP(B5158,#REF!,2,0),IF(A5158="COTAÇÃO",VLOOKUP(B5158,'Mapa Cotações'!$A:$N,2,0))))))))</f>
        <v/>
      </c>
      <c r="D5158" s="89" t="str">
        <f>IF(B5158="","",IF($A$8="NÃO DESONERADO",(IF(A5158="SINAPI",VLOOKUP(B5158,#REF!,3,0),IF(A5158="SUDECAP",VLOOKUP(B5158,#REF!,4,0),IF(A5158="SETOP",VLOOKUP(B5158,#REF!,3,0),IF(A5158="COTAÇÃO",VLOOKUP(B5158,'Mapa Cotações'!$A:$N,3,0)))))),(IF(A5158="SINAPI",VLOOKUP(B5158,#REF!,3,0),IF(A5158="SUDECAP",VLOOKUP(B5158,#REF!,4,0),IF(A5158="SETOP",VLOOKUP(B5158,#REF!,3,0),IF(A5158="COTAÇÃO",VLOOKUP(B5158,'Mapa Cotações'!$A:$N,3,0))))))))</f>
        <v/>
      </c>
      <c r="E5158" s="88"/>
      <c r="F5158" s="89" t="str">
        <f>IF(B5158="","",IF($A$8="NÃO DESONERADO",(IF(A5158="SINAPI",VLOOKUP(B5158,#REF!,4,0),IF(A5158="SUDECAP",VLOOKUP(B5158,#REF!,5,0),IF(A5158="SETOP",VLOOKUP(B5158,#REF!,4,0),IF(A5158="COTAÇÃO",VLOOKUP(B5158,'Mapa Cotações'!$A:$N,13,0)))))),(IF(A5158="SINAPI",VLOOKUP(B5158,#REF!,4,0),IF(A5158="SUDECAP",VLOOKUP(B5158,#REF!,5,0),IF(A5158="SETOP",VLOOKUP(B5158,#REF!,4,0),IF(A5158="COTAÇÃO",VLOOKUP(B5158,'Mapa Cotações'!$A:$N,13,0))))))))</f>
        <v/>
      </c>
      <c r="G5158" s="89" t="str">
        <f>IF(D5158="","",E5158*F5158)</f>
        <v/>
      </c>
    </row>
    <row r="5159" spans="1:11">
      <c r="A5159" s="832" t="s">
        <v>1908</v>
      </c>
      <c r="B5159" s="833" t="s">
        <v>1908</v>
      </c>
      <c r="C5159" s="833"/>
      <c r="D5159" s="833"/>
      <c r="E5159" s="833"/>
      <c r="F5159" s="834"/>
      <c r="G5159" s="90">
        <f>IF(F5157="","",(SUM(G5157:G5158)))</f>
        <v>12.928923000000001</v>
      </c>
    </row>
    <row r="5160" spans="1:11" ht="13.5" thickBot="1">
      <c r="A5160" s="91"/>
      <c r="B5160" s="92"/>
      <c r="C5160" s="163"/>
      <c r="D5160" s="99"/>
      <c r="E5160" s="100"/>
      <c r="F5160" s="101"/>
      <c r="G5160" s="102"/>
    </row>
    <row r="5161" spans="1:11" ht="13.5" thickBot="1">
      <c r="A5161" s="838" t="s">
        <v>1259</v>
      </c>
      <c r="B5161" s="839"/>
      <c r="C5161" s="839"/>
      <c r="D5161" s="839"/>
      <c r="E5161" s="839"/>
      <c r="F5161" s="840"/>
      <c r="G5161" s="103">
        <f>SUM(G5147,G5153,G5159)</f>
        <v>17895.851211000001</v>
      </c>
    </row>
    <row r="5164" spans="1:11">
      <c r="A5164" s="237" t="s">
        <v>131</v>
      </c>
      <c r="B5164" s="190" t="s">
        <v>27</v>
      </c>
      <c r="C5164" s="841" t="s">
        <v>1281</v>
      </c>
      <c r="D5164" s="841"/>
      <c r="E5164" s="841"/>
      <c r="F5164" s="841"/>
      <c r="G5164" s="81" t="s">
        <v>127</v>
      </c>
      <c r="I5164" s="480" t="s">
        <v>1901</v>
      </c>
      <c r="J5164" s="80"/>
      <c r="K5164" s="80"/>
    </row>
    <row r="5165" spans="1:11" ht="50.1" customHeight="1">
      <c r="A5165" s="179" t="s">
        <v>969</v>
      </c>
      <c r="B5165" s="82"/>
      <c r="C5165" s="830" t="s">
        <v>970</v>
      </c>
      <c r="D5165" s="831"/>
      <c r="E5165" s="831"/>
      <c r="F5165" s="186">
        <f>G5184</f>
        <v>5245.8512110000001</v>
      </c>
      <c r="G5165" s="83" t="s">
        <v>167</v>
      </c>
      <c r="I5165" s="481"/>
      <c r="J5165" s="272"/>
      <c r="K5165" s="272"/>
    </row>
    <row r="5166" spans="1:11">
      <c r="A5166" s="818" t="s">
        <v>1902</v>
      </c>
      <c r="B5166" s="819"/>
      <c r="C5166" s="819"/>
      <c r="D5166" s="819"/>
      <c r="E5166" s="819"/>
      <c r="F5166" s="819"/>
      <c r="G5166" s="820"/>
    </row>
    <row r="5167" spans="1:11">
      <c r="A5167" s="84" t="s">
        <v>1903</v>
      </c>
      <c r="B5167" s="84" t="s">
        <v>131</v>
      </c>
      <c r="C5167" s="160" t="s">
        <v>1904</v>
      </c>
      <c r="D5167" s="84" t="s">
        <v>167</v>
      </c>
      <c r="E5167" s="85" t="s">
        <v>1905</v>
      </c>
      <c r="F5167" s="86" t="s">
        <v>1906</v>
      </c>
      <c r="G5167" s="86" t="s">
        <v>1907</v>
      </c>
    </row>
    <row r="5168" spans="1:11">
      <c r="A5168" s="87" t="s">
        <v>1917</v>
      </c>
      <c r="B5168" s="87" t="s">
        <v>2251</v>
      </c>
      <c r="C5168" s="278" t="str">
        <f>IF(B5168="","",IF($A$8="NÃO DESONERADO",(IF(A5168="SINAPI",VLOOKUP(B5168,#REF!,2,0),IF(A5168="SUDECAP",VLOOKUP(B5168,#REF!,3,0),IF(A5168="SETOP",VLOOKUP(B5168,#REF!,2,0),IF(A5168="COTAÇÃO",VLOOKUP(B5168,'Mapa Cotações'!$A:$N,2,0)))))),(IF(A5168="SINAPI",VLOOKUP(B5168,#REF!,2,0),IF(A5168="SUDECAP",VLOOKUP(B5168,#REF!,3,0),IF(A5168="SETOP",VLOOKUP(B5168,#REF!,2,0),IF(A5168="COTAÇÃO",VLOOKUP(B5168,'Mapa Cotações'!$A:$N,2,0))))))))</f>
        <v>QUADRO ELÉTRICO DE EMBUTIR QGBT-VAC-3PB</v>
      </c>
      <c r="D5168" s="89" t="str">
        <f>IF(B5168="","",IF($A$8="NÃO DESONERADO",(IF(A5168="SINAPI",VLOOKUP(B5168,#REF!,3,0),IF(A5168="SUDECAP",VLOOKUP(B5168,#REF!,4,0),IF(A5168="SETOP",VLOOKUP(B5168,#REF!,3,0),IF(A5168="COTAÇÃO",VLOOKUP(B5168,'Mapa Cotações'!$A:$N,3,0)))))),(IF(A5168="SINAPI",VLOOKUP(B5168,#REF!,3,0),IF(A5168="SUDECAP",VLOOKUP(B5168,#REF!,4,0),IF(A5168="SETOP",VLOOKUP(B5168,#REF!,3,0),IF(A5168="COTAÇÃO",VLOOKUP(B5168,'Mapa Cotações'!$A:$N,3,0))))))))</f>
        <v>UN</v>
      </c>
      <c r="E5168" s="88">
        <v>1</v>
      </c>
      <c r="F5168" s="89">
        <f>IF(B5168="","",IF($A$8="NÃO DESONERADO",(IF(A5168="SINAPI",VLOOKUP(B5168,#REF!,4,0),IF(A5168="SUDECAP",VLOOKUP(B5168,#REF!,5,0),IF(A5168="SETOP",VLOOKUP(B5168,#REF!,4,0),IF(A5168="COTAÇÃO",VLOOKUP(B5168,'Mapa Cotações'!$A:$N,13,0)))))),(IF(A5168="SINAPI",VLOOKUP(B5168,#REF!,4,0),IF(A5168="SUDECAP",VLOOKUP(B5168,#REF!,5,0),IF(A5168="SETOP",VLOOKUP(B5168,#REF!,4,0),IF(A5168="COTAÇÃO",VLOOKUP(B5168,'Mapa Cotações'!$A:$N,13,0))))))))</f>
        <v>5200</v>
      </c>
      <c r="G5168" s="89">
        <f>IF(D5168="","",E5168*F5168)</f>
        <v>5200</v>
      </c>
    </row>
    <row r="5169" spans="1:7">
      <c r="A5169" s="87"/>
      <c r="B5169" s="87"/>
      <c r="C5169" s="278" t="str">
        <f>IF(B5169="","",IF($A$8="NÃO DESONERADO",(IF(A5169="SINAPI",VLOOKUP(B5169,#REF!,2,0),IF(A5169="SUDECAP",VLOOKUP(B5169,#REF!,3,0),IF(A5169="SETOP",VLOOKUP(B5169,#REF!,2,0),IF(A5169="COTAÇÃO",VLOOKUP(B5169,'Mapa Cotações'!$A:$N,2,0)))))),(IF(A5169="SINAPI",VLOOKUP(B5169,#REF!,2,0),IF(A5169="SUDECAP",VLOOKUP(B5169,#REF!,3,0),IF(A5169="SETOP",VLOOKUP(B5169,#REF!,2,0),IF(A5169="COTAÇÃO",VLOOKUP(B5169,'Mapa Cotações'!$A:$N,2,0))))))))</f>
        <v/>
      </c>
      <c r="D5169" s="89" t="str">
        <f>IF(B5169="","",IF($A$8="NÃO DESONERADO",(IF(A5169="SINAPI",VLOOKUP(B5169,#REF!,3,0),IF(A5169="SUDECAP",VLOOKUP(B5169,#REF!,4,0),IF(A5169="SETOP",VLOOKUP(B5169,#REF!,3,0),IF(A5169="COTAÇÃO",VLOOKUP(B5169,'Mapa Cotações'!$A:$N,3,0)))))),(IF(A5169="SINAPI",VLOOKUP(B5169,#REF!,3,0),IF(A5169="SUDECAP",VLOOKUP(B5169,#REF!,4,0),IF(A5169="SETOP",VLOOKUP(B5169,#REF!,3,0),IF(A5169="COTAÇÃO",VLOOKUP(B5169,'Mapa Cotações'!$A:$N,3,0))))))))</f>
        <v/>
      </c>
      <c r="E5169" s="88"/>
      <c r="F5169" s="89" t="str">
        <f>IF(B5169="","",IF($A$8="NÃO DESONERADO",(IF(A5169="SINAPI",VLOOKUP(B5169,#REF!,4,0),IF(A5169="SUDECAP",VLOOKUP(B5169,#REF!,5,0),IF(A5169="SETOP",VLOOKUP(B5169,#REF!,4,0),IF(A5169="COTAÇÃO",VLOOKUP(B5169,'Mapa Cotações'!$A:$N,13,0)))))),(IF(A5169="SINAPI",VLOOKUP(B5169,#REF!,4,0),IF(A5169="SUDECAP",VLOOKUP(B5169,#REF!,5,0),IF(A5169="SETOP",VLOOKUP(B5169,#REF!,4,0),IF(A5169="COTAÇÃO",VLOOKUP(B5169,'Mapa Cotações'!$A:$N,13,0))))))))</f>
        <v/>
      </c>
      <c r="G5169" s="89" t="str">
        <f>IF(D5169="","",E5169*F5169)</f>
        <v/>
      </c>
    </row>
    <row r="5170" spans="1:7">
      <c r="A5170" s="832" t="s">
        <v>1908</v>
      </c>
      <c r="B5170" s="833"/>
      <c r="C5170" s="833"/>
      <c r="D5170" s="833"/>
      <c r="E5170" s="833"/>
      <c r="F5170" s="834"/>
      <c r="G5170" s="90">
        <f>IF(F5168="","",(SUM(G5168:G5169)))</f>
        <v>5200</v>
      </c>
    </row>
    <row r="5171" spans="1:7">
      <c r="A5171" s="91"/>
      <c r="B5171" s="92"/>
      <c r="C5171" s="161"/>
      <c r="D5171" s="93"/>
      <c r="E5171" s="94"/>
      <c r="F5171" s="95"/>
      <c r="G5171" s="96"/>
    </row>
    <row r="5172" spans="1:7">
      <c r="A5172" s="835" t="s">
        <v>1909</v>
      </c>
      <c r="B5172" s="836"/>
      <c r="C5172" s="836"/>
      <c r="D5172" s="836"/>
      <c r="E5172" s="836"/>
      <c r="F5172" s="836"/>
      <c r="G5172" s="837"/>
    </row>
    <row r="5173" spans="1:7">
      <c r="A5173" s="84" t="s">
        <v>1903</v>
      </c>
      <c r="B5173" s="84" t="s">
        <v>131</v>
      </c>
      <c r="C5173" s="160" t="s">
        <v>1904</v>
      </c>
      <c r="D5173" s="84" t="s">
        <v>167</v>
      </c>
      <c r="E5173" s="85" t="s">
        <v>1905</v>
      </c>
      <c r="F5173" s="86" t="s">
        <v>1906</v>
      </c>
      <c r="G5173" s="86" t="s">
        <v>1907</v>
      </c>
    </row>
    <row r="5174" spans="1:7">
      <c r="A5174" s="87" t="s">
        <v>2</v>
      </c>
      <c r="B5174" s="87">
        <v>88264</v>
      </c>
      <c r="C5174" s="278" t="s">
        <v>1910</v>
      </c>
      <c r="D5174" s="89" t="s">
        <v>2087</v>
      </c>
      <c r="E5174" s="88">
        <v>0.63839999999999997</v>
      </c>
      <c r="F5174" s="89">
        <v>28.54</v>
      </c>
      <c r="G5174" s="89">
        <f>IF(D5174="","",E5174*F5174)</f>
        <v>18.219935999999997</v>
      </c>
    </row>
    <row r="5175" spans="1:7" ht="24">
      <c r="A5175" s="87" t="s">
        <v>2</v>
      </c>
      <c r="B5175" s="87">
        <v>88247</v>
      </c>
      <c r="C5175" s="473" t="s">
        <v>1911</v>
      </c>
      <c r="D5175" s="89" t="s">
        <v>2087</v>
      </c>
      <c r="E5175" s="88">
        <v>0.63839999999999997</v>
      </c>
      <c r="F5175" s="89">
        <v>23.03</v>
      </c>
      <c r="G5175" s="89">
        <f>IF(D5175="","",E5175*F5175)</f>
        <v>14.702351999999999</v>
      </c>
    </row>
    <row r="5176" spans="1:7">
      <c r="A5176" s="832" t="s">
        <v>1908</v>
      </c>
      <c r="B5176" s="833"/>
      <c r="C5176" s="833"/>
      <c r="D5176" s="833"/>
      <c r="E5176" s="833"/>
      <c r="F5176" s="834"/>
      <c r="G5176" s="90">
        <f>IF(F5174="","",(SUM(G5174:G5175)))</f>
        <v>32.922287999999995</v>
      </c>
    </row>
    <row r="5177" spans="1:7">
      <c r="A5177" s="91"/>
      <c r="B5177" s="92"/>
      <c r="C5177" s="162"/>
      <c r="D5177" s="92"/>
      <c r="E5177" s="97"/>
      <c r="F5177" s="98"/>
      <c r="G5177" s="96"/>
    </row>
    <row r="5178" spans="1:7">
      <c r="A5178" s="835" t="s">
        <v>1912</v>
      </c>
      <c r="B5178" s="836"/>
      <c r="C5178" s="836"/>
      <c r="D5178" s="836"/>
      <c r="E5178" s="836"/>
      <c r="F5178" s="836"/>
      <c r="G5178" s="837"/>
    </row>
    <row r="5179" spans="1:7">
      <c r="A5179" s="84" t="s">
        <v>1903</v>
      </c>
      <c r="B5179" s="84" t="s">
        <v>131</v>
      </c>
      <c r="C5179" s="160" t="s">
        <v>1904</v>
      </c>
      <c r="D5179" s="84" t="s">
        <v>167</v>
      </c>
      <c r="E5179" s="85" t="s">
        <v>1905</v>
      </c>
      <c r="F5179" s="86" t="s">
        <v>1906</v>
      </c>
      <c r="G5179" s="86" t="s">
        <v>1907</v>
      </c>
    </row>
    <row r="5180" spans="1:7" ht="48">
      <c r="A5180" s="87" t="s">
        <v>2</v>
      </c>
      <c r="B5180" s="87">
        <v>87367</v>
      </c>
      <c r="C5180" s="278" t="s">
        <v>1934</v>
      </c>
      <c r="D5180" s="89" t="s">
        <v>2249</v>
      </c>
      <c r="E5180" s="88">
        <v>1.89E-2</v>
      </c>
      <c r="F5180" s="89">
        <v>684.07</v>
      </c>
      <c r="G5180" s="89">
        <f>IF(D5180="","",E5180*F5180)</f>
        <v>12.928923000000001</v>
      </c>
    </row>
    <row r="5181" spans="1:7">
      <c r="A5181" s="87"/>
      <c r="B5181" s="87"/>
      <c r="C5181" s="278" t="str">
        <f>IF(B5181="","",IF($A$8="NÃO DESONERADO",(IF(A5181="SINAPI",VLOOKUP(B5181,#REF!,2,0),IF(A5181="SUDECAP",VLOOKUP(B5181,#REF!,3,0),IF(A5181="SETOP",VLOOKUP(B5181,#REF!,2,0),IF(A5181="COTAÇÃO",VLOOKUP(B5181,'Mapa Cotações'!$A:$N,2,0)))))),(IF(A5181="SINAPI",VLOOKUP(B5181,#REF!,2,0),IF(A5181="SUDECAP",VLOOKUP(B5181,#REF!,3,0),IF(A5181="SETOP",VLOOKUP(B5181,#REF!,2,0),IF(A5181="COTAÇÃO",VLOOKUP(B5181,'Mapa Cotações'!$A:$N,2,0))))))))</f>
        <v/>
      </c>
      <c r="D5181" s="89" t="str">
        <f>IF(B5181="","",IF($A$8="NÃO DESONERADO",(IF(A5181="SINAPI",VLOOKUP(B5181,#REF!,3,0),IF(A5181="SUDECAP",VLOOKUP(B5181,#REF!,4,0),IF(A5181="SETOP",VLOOKUP(B5181,#REF!,3,0),IF(A5181="COTAÇÃO",VLOOKUP(B5181,'Mapa Cotações'!$A:$N,3,0)))))),(IF(A5181="SINAPI",VLOOKUP(B5181,#REF!,3,0),IF(A5181="SUDECAP",VLOOKUP(B5181,#REF!,4,0),IF(A5181="SETOP",VLOOKUP(B5181,#REF!,3,0),IF(A5181="COTAÇÃO",VLOOKUP(B5181,'Mapa Cotações'!$A:$N,3,0))))))))</f>
        <v/>
      </c>
      <c r="E5181" s="88"/>
      <c r="F5181" s="89" t="str">
        <f>IF(B5181="","",IF($A$8="NÃO DESONERADO",(IF(A5181="SINAPI",VLOOKUP(B5181,#REF!,4,0),IF(A5181="SUDECAP",VLOOKUP(B5181,#REF!,5,0),IF(A5181="SETOP",VLOOKUP(B5181,#REF!,4,0),IF(A5181="COTAÇÃO",VLOOKUP(B5181,'Mapa Cotações'!$A:$N,13,0)))))),(IF(A5181="SINAPI",VLOOKUP(B5181,#REF!,4,0),IF(A5181="SUDECAP",VLOOKUP(B5181,#REF!,5,0),IF(A5181="SETOP",VLOOKUP(B5181,#REF!,4,0),IF(A5181="COTAÇÃO",VLOOKUP(B5181,'Mapa Cotações'!$A:$N,13,0))))))))</f>
        <v/>
      </c>
      <c r="G5181" s="89" t="str">
        <f>IF(D5181="","",E5181*F5181)</f>
        <v/>
      </c>
    </row>
    <row r="5182" spans="1:7">
      <c r="A5182" s="832" t="s">
        <v>1908</v>
      </c>
      <c r="B5182" s="833" t="s">
        <v>1908</v>
      </c>
      <c r="C5182" s="833"/>
      <c r="D5182" s="833"/>
      <c r="E5182" s="833"/>
      <c r="F5182" s="834"/>
      <c r="G5182" s="90">
        <f>IF(F5180="","",(SUM(G5180:G5181)))</f>
        <v>12.928923000000001</v>
      </c>
    </row>
    <row r="5183" spans="1:7" ht="13.5" thickBot="1">
      <c r="A5183" s="91"/>
      <c r="B5183" s="92"/>
      <c r="C5183" s="163"/>
      <c r="D5183" s="99"/>
      <c r="E5183" s="100"/>
      <c r="F5183" s="101"/>
      <c r="G5183" s="102"/>
    </row>
    <row r="5184" spans="1:7" ht="13.5" thickBot="1">
      <c r="A5184" s="838" t="s">
        <v>1259</v>
      </c>
      <c r="B5184" s="839"/>
      <c r="C5184" s="839"/>
      <c r="D5184" s="839"/>
      <c r="E5184" s="839"/>
      <c r="F5184" s="840"/>
      <c r="G5184" s="103">
        <f>SUM(G5170,G5176,G5182)</f>
        <v>5245.8512110000001</v>
      </c>
    </row>
    <row r="5187" spans="1:11">
      <c r="A5187" s="237" t="s">
        <v>131</v>
      </c>
      <c r="B5187" s="190" t="s">
        <v>27</v>
      </c>
      <c r="C5187" s="841" t="s">
        <v>1281</v>
      </c>
      <c r="D5187" s="841"/>
      <c r="E5187" s="841"/>
      <c r="F5187" s="841"/>
      <c r="G5187" s="81" t="s">
        <v>127</v>
      </c>
      <c r="I5187" s="480" t="s">
        <v>1901</v>
      </c>
      <c r="J5187" s="80"/>
      <c r="K5187" s="80"/>
    </row>
    <row r="5188" spans="1:11" ht="50.1" customHeight="1">
      <c r="A5188" s="179" t="s">
        <v>972</v>
      </c>
      <c r="B5188" s="82"/>
      <c r="C5188" s="830" t="s">
        <v>973</v>
      </c>
      <c r="D5188" s="831"/>
      <c r="E5188" s="831"/>
      <c r="F5188" s="186">
        <f>G5207</f>
        <v>11595.851210999999</v>
      </c>
      <c r="G5188" s="83" t="s">
        <v>167</v>
      </c>
      <c r="I5188" s="481"/>
      <c r="J5188" s="272"/>
      <c r="K5188" s="272"/>
    </row>
    <row r="5189" spans="1:11">
      <c r="A5189" s="818" t="s">
        <v>1902</v>
      </c>
      <c r="B5189" s="819"/>
      <c r="C5189" s="819"/>
      <c r="D5189" s="819"/>
      <c r="E5189" s="819"/>
      <c r="F5189" s="819"/>
      <c r="G5189" s="820"/>
    </row>
    <row r="5190" spans="1:11">
      <c r="A5190" s="84" t="s">
        <v>1903</v>
      </c>
      <c r="B5190" s="84" t="s">
        <v>131</v>
      </c>
      <c r="C5190" s="160" t="s">
        <v>1904</v>
      </c>
      <c r="D5190" s="84" t="s">
        <v>167</v>
      </c>
      <c r="E5190" s="85" t="s">
        <v>1905</v>
      </c>
      <c r="F5190" s="86" t="s">
        <v>1906</v>
      </c>
      <c r="G5190" s="86" t="s">
        <v>1907</v>
      </c>
    </row>
    <row r="5191" spans="1:11">
      <c r="A5191" s="87" t="s">
        <v>1917</v>
      </c>
      <c r="B5191" s="87" t="s">
        <v>2252</v>
      </c>
      <c r="C5191" s="278" t="str">
        <f>IF(B5191="","",IF($A$8="NÃO DESONERADO",(IF(A5191="SINAPI",VLOOKUP(B5191,#REF!,2,0),IF(A5191="SUDECAP",VLOOKUP(B5191,#REF!,3,0),IF(A5191="SETOP",VLOOKUP(B5191,#REF!,2,0),IF(A5191="COTAÇÃO",VLOOKUP(B5191,'Mapa Cotações'!$A:$N,2,0)))))),(IF(A5191="SINAPI",VLOOKUP(B5191,#REF!,2,0),IF(A5191="SUDECAP",VLOOKUP(B5191,#REF!,3,0),IF(A5191="SETOP",VLOOKUP(B5191,#REF!,2,0),IF(A5191="COTAÇÃO",VLOOKUP(B5191,'Mapa Cotações'!$A:$N,2,0))))))))</f>
        <v>QUADRO ELÉTRICO DE EMBUTIR QDI-3PB-01</v>
      </c>
      <c r="D5191" s="89" t="str">
        <f>IF(B5191="","",IF($A$8="NÃO DESONERADO",(IF(A5191="SINAPI",VLOOKUP(B5191,#REF!,3,0),IF(A5191="SUDECAP",VLOOKUP(B5191,#REF!,4,0),IF(A5191="SETOP",VLOOKUP(B5191,#REF!,3,0),IF(A5191="COTAÇÃO",VLOOKUP(B5191,'Mapa Cotações'!$A:$N,3,0)))))),(IF(A5191="SINAPI",VLOOKUP(B5191,#REF!,3,0),IF(A5191="SUDECAP",VLOOKUP(B5191,#REF!,4,0),IF(A5191="SETOP",VLOOKUP(B5191,#REF!,3,0),IF(A5191="COTAÇÃO",VLOOKUP(B5191,'Mapa Cotações'!$A:$N,3,0))))))))</f>
        <v>UN</v>
      </c>
      <c r="E5191" s="88">
        <v>1</v>
      </c>
      <c r="F5191" s="89">
        <f>IF(B5191="","",IF($A$8="NÃO DESONERADO",(IF(A5191="SINAPI",VLOOKUP(B5191,#REF!,4,0),IF(A5191="SUDECAP",VLOOKUP(B5191,#REF!,5,0),IF(A5191="SETOP",VLOOKUP(B5191,#REF!,4,0),IF(A5191="COTAÇÃO",VLOOKUP(B5191,'Mapa Cotações'!$A:$N,13,0)))))),(IF(A5191="SINAPI",VLOOKUP(B5191,#REF!,4,0),IF(A5191="SUDECAP",VLOOKUP(B5191,#REF!,5,0),IF(A5191="SETOP",VLOOKUP(B5191,#REF!,4,0),IF(A5191="COTAÇÃO",VLOOKUP(B5191,'Mapa Cotações'!$A:$N,13,0))))))))</f>
        <v>11550</v>
      </c>
      <c r="G5191" s="89">
        <f>IF(D5191="","",E5191*F5191)</f>
        <v>11550</v>
      </c>
    </row>
    <row r="5192" spans="1:11">
      <c r="A5192" s="87"/>
      <c r="B5192" s="87"/>
      <c r="C5192" s="278" t="str">
        <f>IF(B5192="","",IF($A$8="NÃO DESONERADO",(IF(A5192="SINAPI",VLOOKUP(B5192,#REF!,2,0),IF(A5192="SUDECAP",VLOOKUP(B5192,#REF!,3,0),IF(A5192="SETOP",VLOOKUP(B5192,#REF!,2,0),IF(A5192="COTAÇÃO",VLOOKUP(B5192,'Mapa Cotações'!$A:$N,2,0)))))),(IF(A5192="SINAPI",VLOOKUP(B5192,#REF!,2,0),IF(A5192="SUDECAP",VLOOKUP(B5192,#REF!,3,0),IF(A5192="SETOP",VLOOKUP(B5192,#REF!,2,0),IF(A5192="COTAÇÃO",VLOOKUP(B5192,'Mapa Cotações'!$A:$N,2,0))))))))</f>
        <v/>
      </c>
      <c r="D5192" s="89" t="str">
        <f>IF(B5192="","",IF($A$8="NÃO DESONERADO",(IF(A5192="SINAPI",VLOOKUP(B5192,#REF!,3,0),IF(A5192="SUDECAP",VLOOKUP(B5192,#REF!,4,0),IF(A5192="SETOP",VLOOKUP(B5192,#REF!,3,0),IF(A5192="COTAÇÃO",VLOOKUP(B5192,'Mapa Cotações'!$A:$N,3,0)))))),(IF(A5192="SINAPI",VLOOKUP(B5192,#REF!,3,0),IF(A5192="SUDECAP",VLOOKUP(B5192,#REF!,4,0),IF(A5192="SETOP",VLOOKUP(B5192,#REF!,3,0),IF(A5192="COTAÇÃO",VLOOKUP(B5192,'Mapa Cotações'!$A:$N,3,0))))))))</f>
        <v/>
      </c>
      <c r="E5192" s="88"/>
      <c r="F5192" s="89" t="str">
        <f>IF(B5192="","",IF($A$8="NÃO DESONERADO",(IF(A5192="SINAPI",VLOOKUP(B5192,#REF!,4,0),IF(A5192="SUDECAP",VLOOKUP(B5192,#REF!,5,0),IF(A5192="SETOP",VLOOKUP(B5192,#REF!,4,0),IF(A5192="COTAÇÃO",VLOOKUP(B5192,'Mapa Cotações'!$A:$N,13,0)))))),(IF(A5192="SINAPI",VLOOKUP(B5192,#REF!,4,0),IF(A5192="SUDECAP",VLOOKUP(B5192,#REF!,5,0),IF(A5192="SETOP",VLOOKUP(B5192,#REF!,4,0),IF(A5192="COTAÇÃO",VLOOKUP(B5192,'Mapa Cotações'!$A:$N,13,0))))))))</f>
        <v/>
      </c>
      <c r="G5192" s="89" t="str">
        <f>IF(D5192="","",E5192*F5192)</f>
        <v/>
      </c>
    </row>
    <row r="5193" spans="1:11">
      <c r="A5193" s="832" t="s">
        <v>1908</v>
      </c>
      <c r="B5193" s="833"/>
      <c r="C5193" s="833"/>
      <c r="D5193" s="833"/>
      <c r="E5193" s="833"/>
      <c r="F5193" s="834"/>
      <c r="G5193" s="90">
        <f>IF(F5191="","",(SUM(G5191:G5192)))</f>
        <v>11550</v>
      </c>
    </row>
    <row r="5194" spans="1:11">
      <c r="A5194" s="91"/>
      <c r="B5194" s="92"/>
      <c r="C5194" s="161"/>
      <c r="D5194" s="93"/>
      <c r="E5194" s="94"/>
      <c r="F5194" s="95"/>
      <c r="G5194" s="96"/>
    </row>
    <row r="5195" spans="1:11">
      <c r="A5195" s="835" t="s">
        <v>1909</v>
      </c>
      <c r="B5195" s="836"/>
      <c r="C5195" s="836"/>
      <c r="D5195" s="836"/>
      <c r="E5195" s="836"/>
      <c r="F5195" s="836"/>
      <c r="G5195" s="837"/>
    </row>
    <row r="5196" spans="1:11">
      <c r="A5196" s="84" t="s">
        <v>1903</v>
      </c>
      <c r="B5196" s="84" t="s">
        <v>131</v>
      </c>
      <c r="C5196" s="160" t="s">
        <v>1904</v>
      </c>
      <c r="D5196" s="84" t="s">
        <v>167</v>
      </c>
      <c r="E5196" s="85" t="s">
        <v>1905</v>
      </c>
      <c r="F5196" s="86" t="s">
        <v>1906</v>
      </c>
      <c r="G5196" s="86" t="s">
        <v>1907</v>
      </c>
    </row>
    <row r="5197" spans="1:11">
      <c r="A5197" s="87" t="s">
        <v>2</v>
      </c>
      <c r="B5197" s="87">
        <v>88264</v>
      </c>
      <c r="C5197" s="278" t="s">
        <v>1910</v>
      </c>
      <c r="D5197" s="89" t="s">
        <v>2087</v>
      </c>
      <c r="E5197" s="88">
        <v>0.63839999999999997</v>
      </c>
      <c r="F5197" s="89">
        <v>28.54</v>
      </c>
      <c r="G5197" s="89">
        <f>IF(D5197="","",E5197*F5197)</f>
        <v>18.219935999999997</v>
      </c>
    </row>
    <row r="5198" spans="1:11" ht="24">
      <c r="A5198" s="87" t="s">
        <v>2</v>
      </c>
      <c r="B5198" s="87">
        <v>88247</v>
      </c>
      <c r="C5198" s="473" t="s">
        <v>1911</v>
      </c>
      <c r="D5198" s="89" t="s">
        <v>2087</v>
      </c>
      <c r="E5198" s="88">
        <v>0.63839999999999997</v>
      </c>
      <c r="F5198" s="89">
        <v>23.03</v>
      </c>
      <c r="G5198" s="89">
        <f>IF(D5198="","",E5198*F5198)</f>
        <v>14.702351999999999</v>
      </c>
    </row>
    <row r="5199" spans="1:11">
      <c r="A5199" s="832" t="s">
        <v>1908</v>
      </c>
      <c r="B5199" s="833"/>
      <c r="C5199" s="833"/>
      <c r="D5199" s="833"/>
      <c r="E5199" s="833"/>
      <c r="F5199" s="834"/>
      <c r="G5199" s="90">
        <f>IF(F5197="","",(SUM(G5197:G5198)))</f>
        <v>32.922287999999995</v>
      </c>
    </row>
    <row r="5200" spans="1:11">
      <c r="A5200" s="91"/>
      <c r="B5200" s="92"/>
      <c r="C5200" s="162"/>
      <c r="D5200" s="92"/>
      <c r="E5200" s="97"/>
      <c r="F5200" s="98"/>
      <c r="G5200" s="96"/>
    </row>
    <row r="5201" spans="1:11">
      <c r="A5201" s="835" t="s">
        <v>1912</v>
      </c>
      <c r="B5201" s="836"/>
      <c r="C5201" s="836"/>
      <c r="D5201" s="836"/>
      <c r="E5201" s="836"/>
      <c r="F5201" s="836"/>
      <c r="G5201" s="837"/>
    </row>
    <row r="5202" spans="1:11">
      <c r="A5202" s="84" t="s">
        <v>1903</v>
      </c>
      <c r="B5202" s="84" t="s">
        <v>131</v>
      </c>
      <c r="C5202" s="160" t="s">
        <v>1904</v>
      </c>
      <c r="D5202" s="84" t="s">
        <v>167</v>
      </c>
      <c r="E5202" s="85" t="s">
        <v>1905</v>
      </c>
      <c r="F5202" s="86" t="s">
        <v>1906</v>
      </c>
      <c r="G5202" s="86" t="s">
        <v>1907</v>
      </c>
    </row>
    <row r="5203" spans="1:11" ht="48">
      <c r="A5203" s="87" t="s">
        <v>2</v>
      </c>
      <c r="B5203" s="87">
        <v>87367</v>
      </c>
      <c r="C5203" s="278" t="s">
        <v>1934</v>
      </c>
      <c r="D5203" s="89" t="s">
        <v>2249</v>
      </c>
      <c r="E5203" s="88">
        <v>1.89E-2</v>
      </c>
      <c r="F5203" s="89">
        <v>684.07</v>
      </c>
      <c r="G5203" s="89">
        <f>IF(D5203="","",E5203*F5203)</f>
        <v>12.928923000000001</v>
      </c>
    </row>
    <row r="5204" spans="1:11">
      <c r="A5204" s="87"/>
      <c r="B5204" s="87"/>
      <c r="C5204" s="278" t="str">
        <f>IF(B5204="","",IF($A$8="NÃO DESONERADO",(IF(A5204="SINAPI",VLOOKUP(B5204,#REF!,2,0),IF(A5204="SUDECAP",VLOOKUP(B5204,#REF!,3,0),IF(A5204="SETOP",VLOOKUP(B5204,#REF!,2,0),IF(A5204="COTAÇÃO",VLOOKUP(B5204,'Mapa Cotações'!$A:$N,2,0)))))),(IF(A5204="SINAPI",VLOOKUP(B5204,#REF!,2,0),IF(A5204="SUDECAP",VLOOKUP(B5204,#REF!,3,0),IF(A5204="SETOP",VLOOKUP(B5204,#REF!,2,0),IF(A5204="COTAÇÃO",VLOOKUP(B5204,'Mapa Cotações'!$A:$N,2,0))))))))</f>
        <v/>
      </c>
      <c r="D5204" s="89" t="str">
        <f>IF(B5204="","",IF($A$8="NÃO DESONERADO",(IF(A5204="SINAPI",VLOOKUP(B5204,#REF!,3,0),IF(A5204="SUDECAP",VLOOKUP(B5204,#REF!,4,0),IF(A5204="SETOP",VLOOKUP(B5204,#REF!,3,0),IF(A5204="COTAÇÃO",VLOOKUP(B5204,'Mapa Cotações'!$A:$N,3,0)))))),(IF(A5204="SINAPI",VLOOKUP(B5204,#REF!,3,0),IF(A5204="SUDECAP",VLOOKUP(B5204,#REF!,4,0),IF(A5204="SETOP",VLOOKUP(B5204,#REF!,3,0),IF(A5204="COTAÇÃO",VLOOKUP(B5204,'Mapa Cotações'!$A:$N,3,0))))))))</f>
        <v/>
      </c>
      <c r="E5204" s="88"/>
      <c r="F5204" s="89" t="str">
        <f>IF(B5204="","",IF($A$8="NÃO DESONERADO",(IF(A5204="SINAPI",VLOOKUP(B5204,#REF!,4,0),IF(A5204="SUDECAP",VLOOKUP(B5204,#REF!,5,0),IF(A5204="SETOP",VLOOKUP(B5204,#REF!,4,0),IF(A5204="COTAÇÃO",VLOOKUP(B5204,'Mapa Cotações'!$A:$N,13,0)))))),(IF(A5204="SINAPI",VLOOKUP(B5204,#REF!,4,0),IF(A5204="SUDECAP",VLOOKUP(B5204,#REF!,5,0),IF(A5204="SETOP",VLOOKUP(B5204,#REF!,4,0),IF(A5204="COTAÇÃO",VLOOKUP(B5204,'Mapa Cotações'!$A:$N,13,0))))))))</f>
        <v/>
      </c>
      <c r="G5204" s="89" t="str">
        <f>IF(D5204="","",E5204*F5204)</f>
        <v/>
      </c>
    </row>
    <row r="5205" spans="1:11">
      <c r="A5205" s="832" t="s">
        <v>1908</v>
      </c>
      <c r="B5205" s="833" t="s">
        <v>1908</v>
      </c>
      <c r="C5205" s="833"/>
      <c r="D5205" s="833"/>
      <c r="E5205" s="833"/>
      <c r="F5205" s="834"/>
      <c r="G5205" s="90">
        <f>IF(F5203="","",(SUM(G5203:G5204)))</f>
        <v>12.928923000000001</v>
      </c>
    </row>
    <row r="5206" spans="1:11" ht="13.5" thickBot="1">
      <c r="A5206" s="91"/>
      <c r="B5206" s="92"/>
      <c r="C5206" s="163"/>
      <c r="D5206" s="99"/>
      <c r="E5206" s="100"/>
      <c r="F5206" s="101"/>
      <c r="G5206" s="102"/>
    </row>
    <row r="5207" spans="1:11" ht="13.5" thickBot="1">
      <c r="A5207" s="838" t="s">
        <v>1259</v>
      </c>
      <c r="B5207" s="839"/>
      <c r="C5207" s="839"/>
      <c r="D5207" s="839"/>
      <c r="E5207" s="839"/>
      <c r="F5207" s="840"/>
      <c r="G5207" s="103">
        <f>SUM(G5193,G5199,G5205)</f>
        <v>11595.851210999999</v>
      </c>
    </row>
    <row r="5210" spans="1:11">
      <c r="A5210" s="237" t="s">
        <v>131</v>
      </c>
      <c r="B5210" s="190" t="s">
        <v>27</v>
      </c>
      <c r="C5210" s="841" t="s">
        <v>1281</v>
      </c>
      <c r="D5210" s="841"/>
      <c r="E5210" s="841"/>
      <c r="F5210" s="841"/>
      <c r="G5210" s="81" t="s">
        <v>127</v>
      </c>
      <c r="I5210" s="480" t="s">
        <v>1901</v>
      </c>
      <c r="J5210" s="80"/>
      <c r="K5210" s="80"/>
    </row>
    <row r="5211" spans="1:11" ht="50.1" customHeight="1">
      <c r="A5211" s="179" t="s">
        <v>975</v>
      </c>
      <c r="B5211" s="82"/>
      <c r="C5211" s="830" t="s">
        <v>976</v>
      </c>
      <c r="D5211" s="831"/>
      <c r="E5211" s="831"/>
      <c r="F5211" s="186">
        <f>G5230</f>
        <v>11595.851210999999</v>
      </c>
      <c r="G5211" s="83" t="s">
        <v>167</v>
      </c>
      <c r="I5211" s="481"/>
      <c r="J5211" s="272"/>
      <c r="K5211" s="272"/>
    </row>
    <row r="5212" spans="1:11">
      <c r="A5212" s="818" t="s">
        <v>1902</v>
      </c>
      <c r="B5212" s="819"/>
      <c r="C5212" s="819"/>
      <c r="D5212" s="819"/>
      <c r="E5212" s="819"/>
      <c r="F5212" s="819"/>
      <c r="G5212" s="820"/>
    </row>
    <row r="5213" spans="1:11">
      <c r="A5213" s="84" t="s">
        <v>1903</v>
      </c>
      <c r="B5213" s="84" t="s">
        <v>131</v>
      </c>
      <c r="C5213" s="160" t="s">
        <v>1904</v>
      </c>
      <c r="D5213" s="84" t="s">
        <v>167</v>
      </c>
      <c r="E5213" s="85" t="s">
        <v>1905</v>
      </c>
      <c r="F5213" s="86" t="s">
        <v>1906</v>
      </c>
      <c r="G5213" s="86" t="s">
        <v>1907</v>
      </c>
    </row>
    <row r="5214" spans="1:11">
      <c r="A5214" s="87" t="s">
        <v>1917</v>
      </c>
      <c r="B5214" s="87" t="s">
        <v>2253</v>
      </c>
      <c r="C5214" s="278" t="str">
        <f>IF(B5214="","",IF($A$8="NÃO DESONERADO",(IF(A5214="SINAPI",VLOOKUP(B5214,#REF!,2,0),IF(A5214="SUDECAP",VLOOKUP(B5214,#REF!,3,0),IF(A5214="SETOP",VLOOKUP(B5214,#REF!,2,0),IF(A5214="COTAÇÃO",VLOOKUP(B5214,'Mapa Cotações'!$A:$N,2,0)))))),(IF(A5214="SINAPI",VLOOKUP(B5214,#REF!,2,0),IF(A5214="SUDECAP",VLOOKUP(B5214,#REF!,3,0),IF(A5214="SETOP",VLOOKUP(B5214,#REF!,2,0),IF(A5214="COTAÇÃO",VLOOKUP(B5214,'Mapa Cotações'!$A:$N,2,0))))))))</f>
        <v>QUADRO ELÉTRICO DE EMBUTIR QDI-3PB-02</v>
      </c>
      <c r="D5214" s="89" t="str">
        <f>IF(B5214="","",IF($A$8="NÃO DESONERADO",(IF(A5214="SINAPI",VLOOKUP(B5214,#REF!,3,0),IF(A5214="SUDECAP",VLOOKUP(B5214,#REF!,4,0),IF(A5214="SETOP",VLOOKUP(B5214,#REF!,3,0),IF(A5214="COTAÇÃO",VLOOKUP(B5214,'Mapa Cotações'!$A:$N,3,0)))))),(IF(A5214="SINAPI",VLOOKUP(B5214,#REF!,3,0),IF(A5214="SUDECAP",VLOOKUP(B5214,#REF!,4,0),IF(A5214="SETOP",VLOOKUP(B5214,#REF!,3,0),IF(A5214="COTAÇÃO",VLOOKUP(B5214,'Mapa Cotações'!$A:$N,3,0))))))))</f>
        <v>UN</v>
      </c>
      <c r="E5214" s="88">
        <v>1</v>
      </c>
      <c r="F5214" s="89">
        <f>IF(B5214="","",IF($A$8="NÃO DESONERADO",(IF(A5214="SINAPI",VLOOKUP(B5214,#REF!,4,0),IF(A5214="SUDECAP",VLOOKUP(B5214,#REF!,5,0),IF(A5214="SETOP",VLOOKUP(B5214,#REF!,4,0),IF(A5214="COTAÇÃO",VLOOKUP(B5214,'Mapa Cotações'!$A:$N,13,0)))))),(IF(A5214="SINAPI",VLOOKUP(B5214,#REF!,4,0),IF(A5214="SUDECAP",VLOOKUP(B5214,#REF!,5,0),IF(A5214="SETOP",VLOOKUP(B5214,#REF!,4,0),IF(A5214="COTAÇÃO",VLOOKUP(B5214,'Mapa Cotações'!$A:$N,13,0))))))))</f>
        <v>11550</v>
      </c>
      <c r="G5214" s="89">
        <f>IF(D5214="","",E5214*F5214)</f>
        <v>11550</v>
      </c>
    </row>
    <row r="5215" spans="1:11">
      <c r="A5215" s="87"/>
      <c r="B5215" s="87"/>
      <c r="C5215" s="278" t="str">
        <f>IF(B5215="","",IF($A$8="NÃO DESONERADO",(IF(A5215="SINAPI",VLOOKUP(B5215,#REF!,2,0),IF(A5215="SUDECAP",VLOOKUP(B5215,#REF!,3,0),IF(A5215="SETOP",VLOOKUP(B5215,#REF!,2,0),IF(A5215="COTAÇÃO",VLOOKUP(B5215,'Mapa Cotações'!$A:$N,2,0)))))),(IF(A5215="SINAPI",VLOOKUP(B5215,#REF!,2,0),IF(A5215="SUDECAP",VLOOKUP(B5215,#REF!,3,0),IF(A5215="SETOP",VLOOKUP(B5215,#REF!,2,0),IF(A5215="COTAÇÃO",VLOOKUP(B5215,'Mapa Cotações'!$A:$N,2,0))))))))</f>
        <v/>
      </c>
      <c r="D5215" s="89" t="str">
        <f>IF(B5215="","",IF($A$8="NÃO DESONERADO",(IF(A5215="SINAPI",VLOOKUP(B5215,#REF!,3,0),IF(A5215="SUDECAP",VLOOKUP(B5215,#REF!,4,0),IF(A5215="SETOP",VLOOKUP(B5215,#REF!,3,0),IF(A5215="COTAÇÃO",VLOOKUP(B5215,'Mapa Cotações'!$A:$N,3,0)))))),(IF(A5215="SINAPI",VLOOKUP(B5215,#REF!,3,0),IF(A5215="SUDECAP",VLOOKUP(B5215,#REF!,4,0),IF(A5215="SETOP",VLOOKUP(B5215,#REF!,3,0),IF(A5215="COTAÇÃO",VLOOKUP(B5215,'Mapa Cotações'!$A:$N,3,0))))))))</f>
        <v/>
      </c>
      <c r="E5215" s="88"/>
      <c r="F5215" s="89" t="str">
        <f>IF(B5215="","",IF($A$8="NÃO DESONERADO",(IF(A5215="SINAPI",VLOOKUP(B5215,#REF!,4,0),IF(A5215="SUDECAP",VLOOKUP(B5215,#REF!,5,0),IF(A5215="SETOP",VLOOKUP(B5215,#REF!,4,0),IF(A5215="COTAÇÃO",VLOOKUP(B5215,'Mapa Cotações'!$A:$N,13,0)))))),(IF(A5215="SINAPI",VLOOKUP(B5215,#REF!,4,0),IF(A5215="SUDECAP",VLOOKUP(B5215,#REF!,5,0),IF(A5215="SETOP",VLOOKUP(B5215,#REF!,4,0),IF(A5215="COTAÇÃO",VLOOKUP(B5215,'Mapa Cotações'!$A:$N,13,0))))))))</f>
        <v/>
      </c>
      <c r="G5215" s="89" t="str">
        <f>IF(D5215="","",E5215*F5215)</f>
        <v/>
      </c>
    </row>
    <row r="5216" spans="1:11">
      <c r="A5216" s="832" t="s">
        <v>1908</v>
      </c>
      <c r="B5216" s="833"/>
      <c r="C5216" s="833"/>
      <c r="D5216" s="833"/>
      <c r="E5216" s="833"/>
      <c r="F5216" s="834"/>
      <c r="G5216" s="90">
        <f>IF(F5214="","",(SUM(G5214:G5215)))</f>
        <v>11550</v>
      </c>
    </row>
    <row r="5217" spans="1:7">
      <c r="A5217" s="91"/>
      <c r="B5217" s="92"/>
      <c r="C5217" s="161"/>
      <c r="D5217" s="93"/>
      <c r="E5217" s="94"/>
      <c r="F5217" s="95"/>
      <c r="G5217" s="96"/>
    </row>
    <row r="5218" spans="1:7">
      <c r="A5218" s="835" t="s">
        <v>1909</v>
      </c>
      <c r="B5218" s="836"/>
      <c r="C5218" s="836"/>
      <c r="D5218" s="836"/>
      <c r="E5218" s="836"/>
      <c r="F5218" s="836"/>
      <c r="G5218" s="837"/>
    </row>
    <row r="5219" spans="1:7">
      <c r="A5219" s="84" t="s">
        <v>1903</v>
      </c>
      <c r="B5219" s="84" t="s">
        <v>131</v>
      </c>
      <c r="C5219" s="160" t="s">
        <v>1904</v>
      </c>
      <c r="D5219" s="84" t="s">
        <v>167</v>
      </c>
      <c r="E5219" s="85" t="s">
        <v>1905</v>
      </c>
      <c r="F5219" s="86" t="s">
        <v>1906</v>
      </c>
      <c r="G5219" s="86" t="s">
        <v>1907</v>
      </c>
    </row>
    <row r="5220" spans="1:7">
      <c r="A5220" s="87" t="s">
        <v>2</v>
      </c>
      <c r="B5220" s="87">
        <v>88264</v>
      </c>
      <c r="C5220" s="278" t="s">
        <v>1910</v>
      </c>
      <c r="D5220" s="89" t="s">
        <v>2087</v>
      </c>
      <c r="E5220" s="88">
        <v>0.63839999999999997</v>
      </c>
      <c r="F5220" s="89">
        <v>28.54</v>
      </c>
      <c r="G5220" s="89">
        <f>IF(D5220="","",E5220*F5220)</f>
        <v>18.219935999999997</v>
      </c>
    </row>
    <row r="5221" spans="1:7" ht="24">
      <c r="A5221" s="87" t="s">
        <v>2</v>
      </c>
      <c r="B5221" s="87">
        <v>88247</v>
      </c>
      <c r="C5221" s="473" t="s">
        <v>1911</v>
      </c>
      <c r="D5221" s="89" t="s">
        <v>2087</v>
      </c>
      <c r="E5221" s="88">
        <v>0.63839999999999997</v>
      </c>
      <c r="F5221" s="89">
        <v>23.03</v>
      </c>
      <c r="G5221" s="89">
        <f>IF(D5221="","",E5221*F5221)</f>
        <v>14.702351999999999</v>
      </c>
    </row>
    <row r="5222" spans="1:7">
      <c r="A5222" s="832" t="s">
        <v>1908</v>
      </c>
      <c r="B5222" s="833"/>
      <c r="C5222" s="833"/>
      <c r="D5222" s="833"/>
      <c r="E5222" s="833"/>
      <c r="F5222" s="834"/>
      <c r="G5222" s="90">
        <f>IF(F5220="","",(SUM(G5220:G5221)))</f>
        <v>32.922287999999995</v>
      </c>
    </row>
    <row r="5223" spans="1:7">
      <c r="A5223" s="91"/>
      <c r="B5223" s="92"/>
      <c r="C5223" s="162"/>
      <c r="D5223" s="92"/>
      <c r="E5223" s="97"/>
      <c r="F5223" s="98"/>
      <c r="G5223" s="96"/>
    </row>
    <row r="5224" spans="1:7">
      <c r="A5224" s="835" t="s">
        <v>1912</v>
      </c>
      <c r="B5224" s="836"/>
      <c r="C5224" s="836"/>
      <c r="D5224" s="836"/>
      <c r="E5224" s="836"/>
      <c r="F5224" s="836"/>
      <c r="G5224" s="837"/>
    </row>
    <row r="5225" spans="1:7">
      <c r="A5225" s="84" t="s">
        <v>1903</v>
      </c>
      <c r="B5225" s="84" t="s">
        <v>131</v>
      </c>
      <c r="C5225" s="160" t="s">
        <v>1904</v>
      </c>
      <c r="D5225" s="84" t="s">
        <v>167</v>
      </c>
      <c r="E5225" s="85" t="s">
        <v>1905</v>
      </c>
      <c r="F5225" s="86" t="s">
        <v>1906</v>
      </c>
      <c r="G5225" s="86" t="s">
        <v>1907</v>
      </c>
    </row>
    <row r="5226" spans="1:7" ht="48">
      <c r="A5226" s="87" t="s">
        <v>2</v>
      </c>
      <c r="B5226" s="87">
        <v>87367</v>
      </c>
      <c r="C5226" s="278" t="s">
        <v>1934</v>
      </c>
      <c r="D5226" s="89" t="s">
        <v>2249</v>
      </c>
      <c r="E5226" s="88">
        <v>1.89E-2</v>
      </c>
      <c r="F5226" s="89">
        <v>684.07</v>
      </c>
      <c r="G5226" s="89">
        <f>IF(D5226="","",E5226*F5226)</f>
        <v>12.928923000000001</v>
      </c>
    </row>
    <row r="5227" spans="1:7">
      <c r="A5227" s="87"/>
      <c r="B5227" s="87"/>
      <c r="C5227" s="278" t="str">
        <f>IF(B5227="","",IF($A$8="NÃO DESONERADO",(IF(A5227="SINAPI",VLOOKUP(B5227,#REF!,2,0),IF(A5227="SUDECAP",VLOOKUP(B5227,#REF!,3,0),IF(A5227="SETOP",VLOOKUP(B5227,#REF!,2,0),IF(A5227="COTAÇÃO",VLOOKUP(B5227,'Mapa Cotações'!$A:$N,2,0)))))),(IF(A5227="SINAPI",VLOOKUP(B5227,#REF!,2,0),IF(A5227="SUDECAP",VLOOKUP(B5227,#REF!,3,0),IF(A5227="SETOP",VLOOKUP(B5227,#REF!,2,0),IF(A5227="COTAÇÃO",VLOOKUP(B5227,'Mapa Cotações'!$A:$N,2,0))))))))</f>
        <v/>
      </c>
      <c r="D5227" s="89" t="str">
        <f>IF(B5227="","",IF($A$8="NÃO DESONERADO",(IF(A5227="SINAPI",VLOOKUP(B5227,#REF!,3,0),IF(A5227="SUDECAP",VLOOKUP(B5227,#REF!,4,0),IF(A5227="SETOP",VLOOKUP(B5227,#REF!,3,0),IF(A5227="COTAÇÃO",VLOOKUP(B5227,'Mapa Cotações'!$A:$N,3,0)))))),(IF(A5227="SINAPI",VLOOKUP(B5227,#REF!,3,0),IF(A5227="SUDECAP",VLOOKUP(B5227,#REF!,4,0),IF(A5227="SETOP",VLOOKUP(B5227,#REF!,3,0),IF(A5227="COTAÇÃO",VLOOKUP(B5227,'Mapa Cotações'!$A:$N,3,0))))))))</f>
        <v/>
      </c>
      <c r="E5227" s="88"/>
      <c r="F5227" s="89" t="str">
        <f>IF(B5227="","",IF($A$8="NÃO DESONERADO",(IF(A5227="SINAPI",VLOOKUP(B5227,#REF!,4,0),IF(A5227="SUDECAP",VLOOKUP(B5227,#REF!,5,0),IF(A5227="SETOP",VLOOKUP(B5227,#REF!,4,0),IF(A5227="COTAÇÃO",VLOOKUP(B5227,'Mapa Cotações'!$A:$N,13,0)))))),(IF(A5227="SINAPI",VLOOKUP(B5227,#REF!,4,0),IF(A5227="SUDECAP",VLOOKUP(B5227,#REF!,5,0),IF(A5227="SETOP",VLOOKUP(B5227,#REF!,4,0),IF(A5227="COTAÇÃO",VLOOKUP(B5227,'Mapa Cotações'!$A:$N,13,0))))))))</f>
        <v/>
      </c>
      <c r="G5227" s="89" t="str">
        <f>IF(D5227="","",E5227*F5227)</f>
        <v/>
      </c>
    </row>
    <row r="5228" spans="1:7">
      <c r="A5228" s="832" t="s">
        <v>1908</v>
      </c>
      <c r="B5228" s="833" t="s">
        <v>1908</v>
      </c>
      <c r="C5228" s="833"/>
      <c r="D5228" s="833"/>
      <c r="E5228" s="833"/>
      <c r="F5228" s="834"/>
      <c r="G5228" s="90">
        <f>IF(F5226="","",(SUM(G5226:G5227)))</f>
        <v>12.928923000000001</v>
      </c>
    </row>
    <row r="5229" spans="1:7" ht="13.5" thickBot="1">
      <c r="A5229" s="91"/>
      <c r="B5229" s="92"/>
      <c r="C5229" s="163"/>
      <c r="D5229" s="99"/>
      <c r="E5229" s="100"/>
      <c r="F5229" s="101"/>
      <c r="G5229" s="102"/>
    </row>
    <row r="5230" spans="1:7" ht="13.5" thickBot="1">
      <c r="A5230" s="838" t="s">
        <v>1259</v>
      </c>
      <c r="B5230" s="839"/>
      <c r="C5230" s="839"/>
      <c r="D5230" s="839"/>
      <c r="E5230" s="839"/>
      <c r="F5230" s="840"/>
      <c r="G5230" s="103">
        <f>SUM(G5216,G5222,G5228)</f>
        <v>11595.851210999999</v>
      </c>
    </row>
    <row r="5233" spans="1:11">
      <c r="A5233" s="237" t="s">
        <v>131</v>
      </c>
      <c r="B5233" s="190" t="s">
        <v>27</v>
      </c>
      <c r="C5233" s="841" t="s">
        <v>1281</v>
      </c>
      <c r="D5233" s="841"/>
      <c r="E5233" s="841"/>
      <c r="F5233" s="841"/>
      <c r="G5233" s="81" t="s">
        <v>127</v>
      </c>
      <c r="I5233" s="480" t="s">
        <v>1901</v>
      </c>
      <c r="J5233" s="80"/>
      <c r="K5233" s="80"/>
    </row>
    <row r="5234" spans="1:11" ht="50.1" customHeight="1">
      <c r="A5234" s="179" t="s">
        <v>978</v>
      </c>
      <c r="B5234" s="82"/>
      <c r="C5234" s="830" t="s">
        <v>979</v>
      </c>
      <c r="D5234" s="831"/>
      <c r="E5234" s="831"/>
      <c r="F5234" s="186">
        <f>G5253</f>
        <v>3345.8512110000001</v>
      </c>
      <c r="G5234" s="83" t="s">
        <v>167</v>
      </c>
      <c r="I5234" s="481"/>
      <c r="J5234" s="272"/>
      <c r="K5234" s="272"/>
    </row>
    <row r="5235" spans="1:11">
      <c r="A5235" s="818" t="s">
        <v>1902</v>
      </c>
      <c r="B5235" s="819"/>
      <c r="C5235" s="819"/>
      <c r="D5235" s="819"/>
      <c r="E5235" s="819"/>
      <c r="F5235" s="819"/>
      <c r="G5235" s="820"/>
    </row>
    <row r="5236" spans="1:11">
      <c r="A5236" s="84" t="s">
        <v>1903</v>
      </c>
      <c r="B5236" s="84" t="s">
        <v>131</v>
      </c>
      <c r="C5236" s="160" t="s">
        <v>1904</v>
      </c>
      <c r="D5236" s="84" t="s">
        <v>167</v>
      </c>
      <c r="E5236" s="85" t="s">
        <v>1905</v>
      </c>
      <c r="F5236" s="86" t="s">
        <v>1906</v>
      </c>
      <c r="G5236" s="86" t="s">
        <v>1907</v>
      </c>
    </row>
    <row r="5237" spans="1:11">
      <c r="A5237" s="87" t="s">
        <v>1917</v>
      </c>
      <c r="B5237" s="87" t="s">
        <v>2254</v>
      </c>
      <c r="C5237" s="278" t="str">
        <f>IF(B5237="","",IF($A$8="NÃO DESONERADO",(IF(A5237="SINAPI",VLOOKUP(B5237,#REF!,2,0),IF(A5237="SUDECAP",VLOOKUP(B5237,#REF!,3,0),IF(A5237="SETOP",VLOOKUP(B5237,#REF!,2,0),IF(A5237="COTAÇÃO",VLOOKUP(B5237,'Mapa Cotações'!$A:$N,2,0)))))),(IF(A5237="SINAPI",VLOOKUP(B5237,#REF!,2,0),IF(A5237="SUDECAP",VLOOKUP(B5237,#REF!,3,0),IF(A5237="SETOP",VLOOKUP(B5237,#REF!,2,0),IF(A5237="COTAÇÃO",VLOOKUP(B5237,'Mapa Cotações'!$A:$N,2,0))))))))</f>
        <v>QUADRO ELÉTRICO DE EMBUTIR QDT-3PB-TIPICO 1</v>
      </c>
      <c r="D5237" s="89" t="str">
        <f>IF(B5237="","",IF($A$8="NÃO DESONERADO",(IF(A5237="SINAPI",VLOOKUP(B5237,#REF!,3,0),IF(A5237="SUDECAP",VLOOKUP(B5237,#REF!,4,0),IF(A5237="SETOP",VLOOKUP(B5237,#REF!,3,0),IF(A5237="COTAÇÃO",VLOOKUP(B5237,'Mapa Cotações'!$A:$N,3,0)))))),(IF(A5237="SINAPI",VLOOKUP(B5237,#REF!,3,0),IF(A5237="SUDECAP",VLOOKUP(B5237,#REF!,4,0),IF(A5237="SETOP",VLOOKUP(B5237,#REF!,3,0),IF(A5237="COTAÇÃO",VLOOKUP(B5237,'Mapa Cotações'!$A:$N,3,0))))))))</f>
        <v>UN</v>
      </c>
      <c r="E5237" s="88">
        <v>1</v>
      </c>
      <c r="F5237" s="89">
        <f>IF(B5237="","",IF($A$8="NÃO DESONERADO",(IF(A5237="SINAPI",VLOOKUP(B5237,#REF!,4,0),IF(A5237="SUDECAP",VLOOKUP(B5237,#REF!,5,0),IF(A5237="SETOP",VLOOKUP(B5237,#REF!,4,0),IF(A5237="COTAÇÃO",VLOOKUP(B5237,'Mapa Cotações'!$A:$N,13,0)))))),(IF(A5237="SINAPI",VLOOKUP(B5237,#REF!,4,0),IF(A5237="SUDECAP",VLOOKUP(B5237,#REF!,5,0),IF(A5237="SETOP",VLOOKUP(B5237,#REF!,4,0),IF(A5237="COTAÇÃO",VLOOKUP(B5237,'Mapa Cotações'!$A:$N,13,0))))))))</f>
        <v>3300</v>
      </c>
      <c r="G5237" s="89">
        <f>IF(D5237="","",E5237*F5237)</f>
        <v>3300</v>
      </c>
    </row>
    <row r="5238" spans="1:11">
      <c r="A5238" s="87"/>
      <c r="B5238" s="87"/>
      <c r="C5238" s="278" t="str">
        <f>IF(B5238="","",IF($A$8="NÃO DESONERADO",(IF(A5238="SINAPI",VLOOKUP(B5238,#REF!,2,0),IF(A5238="SUDECAP",VLOOKUP(B5238,#REF!,3,0),IF(A5238="SETOP",VLOOKUP(B5238,#REF!,2,0),IF(A5238="COTAÇÃO",VLOOKUP(B5238,'Mapa Cotações'!$A:$N,2,0)))))),(IF(A5238="SINAPI",VLOOKUP(B5238,#REF!,2,0),IF(A5238="SUDECAP",VLOOKUP(B5238,#REF!,3,0),IF(A5238="SETOP",VLOOKUP(B5238,#REF!,2,0),IF(A5238="COTAÇÃO",VLOOKUP(B5238,'Mapa Cotações'!$A:$N,2,0))))))))</f>
        <v/>
      </c>
      <c r="D5238" s="89" t="str">
        <f>IF(B5238="","",IF($A$8="NÃO DESONERADO",(IF(A5238="SINAPI",VLOOKUP(B5238,#REF!,3,0),IF(A5238="SUDECAP",VLOOKUP(B5238,#REF!,4,0),IF(A5238="SETOP",VLOOKUP(B5238,#REF!,3,0),IF(A5238="COTAÇÃO",VLOOKUP(B5238,'Mapa Cotações'!$A:$N,3,0)))))),(IF(A5238="SINAPI",VLOOKUP(B5238,#REF!,3,0),IF(A5238="SUDECAP",VLOOKUP(B5238,#REF!,4,0),IF(A5238="SETOP",VLOOKUP(B5238,#REF!,3,0),IF(A5238="COTAÇÃO",VLOOKUP(B5238,'Mapa Cotações'!$A:$N,3,0))))))))</f>
        <v/>
      </c>
      <c r="E5238" s="88"/>
      <c r="F5238" s="89" t="str">
        <f>IF(B5238="","",IF($A$8="NÃO DESONERADO",(IF(A5238="SINAPI",VLOOKUP(B5238,#REF!,4,0),IF(A5238="SUDECAP",VLOOKUP(B5238,#REF!,5,0),IF(A5238="SETOP",VLOOKUP(B5238,#REF!,4,0),IF(A5238="COTAÇÃO",VLOOKUP(B5238,'Mapa Cotações'!$A:$N,13,0)))))),(IF(A5238="SINAPI",VLOOKUP(B5238,#REF!,4,0),IF(A5238="SUDECAP",VLOOKUP(B5238,#REF!,5,0),IF(A5238="SETOP",VLOOKUP(B5238,#REF!,4,0),IF(A5238="COTAÇÃO",VLOOKUP(B5238,'Mapa Cotações'!$A:$N,13,0))))))))</f>
        <v/>
      </c>
      <c r="G5238" s="89" t="str">
        <f>IF(D5238="","",E5238*F5238)</f>
        <v/>
      </c>
    </row>
    <row r="5239" spans="1:11">
      <c r="A5239" s="832" t="s">
        <v>1908</v>
      </c>
      <c r="B5239" s="833"/>
      <c r="C5239" s="833"/>
      <c r="D5239" s="833"/>
      <c r="E5239" s="833"/>
      <c r="F5239" s="834"/>
      <c r="G5239" s="90">
        <f>IF(F5237="","",(SUM(G5237:G5238)))</f>
        <v>3300</v>
      </c>
    </row>
    <row r="5240" spans="1:11">
      <c r="A5240" s="91"/>
      <c r="B5240" s="92"/>
      <c r="C5240" s="161"/>
      <c r="D5240" s="93"/>
      <c r="E5240" s="94"/>
      <c r="F5240" s="95"/>
      <c r="G5240" s="96"/>
    </row>
    <row r="5241" spans="1:11">
      <c r="A5241" s="835" t="s">
        <v>1909</v>
      </c>
      <c r="B5241" s="836"/>
      <c r="C5241" s="836"/>
      <c r="D5241" s="836"/>
      <c r="E5241" s="836"/>
      <c r="F5241" s="836"/>
      <c r="G5241" s="837"/>
    </row>
    <row r="5242" spans="1:11">
      <c r="A5242" s="84" t="s">
        <v>1903</v>
      </c>
      <c r="B5242" s="84" t="s">
        <v>131</v>
      </c>
      <c r="C5242" s="160" t="s">
        <v>1904</v>
      </c>
      <c r="D5242" s="84" t="s">
        <v>167</v>
      </c>
      <c r="E5242" s="85" t="s">
        <v>1905</v>
      </c>
      <c r="F5242" s="86" t="s">
        <v>1906</v>
      </c>
      <c r="G5242" s="86" t="s">
        <v>1907</v>
      </c>
    </row>
    <row r="5243" spans="1:11">
      <c r="A5243" s="87" t="s">
        <v>2</v>
      </c>
      <c r="B5243" s="87">
        <v>88264</v>
      </c>
      <c r="C5243" s="278" t="s">
        <v>1910</v>
      </c>
      <c r="D5243" s="89" t="s">
        <v>2087</v>
      </c>
      <c r="E5243" s="88">
        <v>0.63839999999999997</v>
      </c>
      <c r="F5243" s="89">
        <v>28.54</v>
      </c>
      <c r="G5243" s="89">
        <f>IF(D5243="","",E5243*F5243)</f>
        <v>18.219935999999997</v>
      </c>
    </row>
    <row r="5244" spans="1:11" ht="24">
      <c r="A5244" s="87" t="s">
        <v>2</v>
      </c>
      <c r="B5244" s="87">
        <v>88247</v>
      </c>
      <c r="C5244" s="473" t="s">
        <v>1911</v>
      </c>
      <c r="D5244" s="89" t="s">
        <v>2087</v>
      </c>
      <c r="E5244" s="88">
        <v>0.63839999999999997</v>
      </c>
      <c r="F5244" s="89">
        <v>23.03</v>
      </c>
      <c r="G5244" s="89">
        <f>IF(D5244="","",E5244*F5244)</f>
        <v>14.702351999999999</v>
      </c>
    </row>
    <row r="5245" spans="1:11">
      <c r="A5245" s="832" t="s">
        <v>1908</v>
      </c>
      <c r="B5245" s="833"/>
      <c r="C5245" s="833"/>
      <c r="D5245" s="833"/>
      <c r="E5245" s="833"/>
      <c r="F5245" s="834"/>
      <c r="G5245" s="90">
        <f>IF(F5243="","",(SUM(G5243:G5244)))</f>
        <v>32.922287999999995</v>
      </c>
    </row>
    <row r="5246" spans="1:11">
      <c r="A5246" s="91"/>
      <c r="B5246" s="92"/>
      <c r="C5246" s="162"/>
      <c r="D5246" s="92"/>
      <c r="E5246" s="97"/>
      <c r="F5246" s="98"/>
      <c r="G5246" s="96"/>
    </row>
    <row r="5247" spans="1:11">
      <c r="A5247" s="835" t="s">
        <v>1912</v>
      </c>
      <c r="B5247" s="836"/>
      <c r="C5247" s="836"/>
      <c r="D5247" s="836"/>
      <c r="E5247" s="836"/>
      <c r="F5247" s="836"/>
      <c r="G5247" s="837"/>
    </row>
    <row r="5248" spans="1:11">
      <c r="A5248" s="84" t="s">
        <v>1903</v>
      </c>
      <c r="B5248" s="84" t="s">
        <v>131</v>
      </c>
      <c r="C5248" s="160" t="s">
        <v>1904</v>
      </c>
      <c r="D5248" s="84" t="s">
        <v>167</v>
      </c>
      <c r="E5248" s="85" t="s">
        <v>1905</v>
      </c>
      <c r="F5248" s="86" t="s">
        <v>1906</v>
      </c>
      <c r="G5248" s="86" t="s">
        <v>1907</v>
      </c>
    </row>
    <row r="5249" spans="1:11" ht="48">
      <c r="A5249" s="87" t="s">
        <v>2</v>
      </c>
      <c r="B5249" s="87">
        <v>87367</v>
      </c>
      <c r="C5249" s="278" t="s">
        <v>1934</v>
      </c>
      <c r="D5249" s="89" t="s">
        <v>2249</v>
      </c>
      <c r="E5249" s="88">
        <v>1.89E-2</v>
      </c>
      <c r="F5249" s="89">
        <v>684.07</v>
      </c>
      <c r="G5249" s="89">
        <f>IF(D5249="","",E5249*F5249)</f>
        <v>12.928923000000001</v>
      </c>
    </row>
    <row r="5250" spans="1:11">
      <c r="A5250" s="87"/>
      <c r="B5250" s="87"/>
      <c r="C5250" s="278" t="str">
        <f>IF(B5250="","",IF($A$8="NÃO DESONERADO",(IF(A5250="SINAPI",VLOOKUP(B5250,#REF!,2,0),IF(A5250="SUDECAP",VLOOKUP(B5250,#REF!,3,0),IF(A5250="SETOP",VLOOKUP(B5250,#REF!,2,0),IF(A5250="COTAÇÃO",VLOOKUP(B5250,'Mapa Cotações'!$A:$N,2,0)))))),(IF(A5250="SINAPI",VLOOKUP(B5250,#REF!,2,0),IF(A5250="SUDECAP",VLOOKUP(B5250,#REF!,3,0),IF(A5250="SETOP",VLOOKUP(B5250,#REF!,2,0),IF(A5250="COTAÇÃO",VLOOKUP(B5250,'Mapa Cotações'!$A:$N,2,0))))))))</f>
        <v/>
      </c>
      <c r="D5250" s="89" t="str">
        <f>IF(B5250="","",IF($A$8="NÃO DESONERADO",(IF(A5250="SINAPI",VLOOKUP(B5250,#REF!,3,0),IF(A5250="SUDECAP",VLOOKUP(B5250,#REF!,4,0),IF(A5250="SETOP",VLOOKUP(B5250,#REF!,3,0),IF(A5250="COTAÇÃO",VLOOKUP(B5250,'Mapa Cotações'!$A:$N,3,0)))))),(IF(A5250="SINAPI",VLOOKUP(B5250,#REF!,3,0),IF(A5250="SUDECAP",VLOOKUP(B5250,#REF!,4,0),IF(A5250="SETOP",VLOOKUP(B5250,#REF!,3,0),IF(A5250="COTAÇÃO",VLOOKUP(B5250,'Mapa Cotações'!$A:$N,3,0))))))))</f>
        <v/>
      </c>
      <c r="E5250" s="88"/>
      <c r="F5250" s="89" t="str">
        <f>IF(B5250="","",IF($A$8="NÃO DESONERADO",(IF(A5250="SINAPI",VLOOKUP(B5250,#REF!,4,0),IF(A5250="SUDECAP",VLOOKUP(B5250,#REF!,5,0),IF(A5250="SETOP",VLOOKUP(B5250,#REF!,4,0),IF(A5250="COTAÇÃO",VLOOKUP(B5250,'Mapa Cotações'!$A:$N,13,0)))))),(IF(A5250="SINAPI",VLOOKUP(B5250,#REF!,4,0),IF(A5250="SUDECAP",VLOOKUP(B5250,#REF!,5,0),IF(A5250="SETOP",VLOOKUP(B5250,#REF!,4,0),IF(A5250="COTAÇÃO",VLOOKUP(B5250,'Mapa Cotações'!$A:$N,13,0))))))))</f>
        <v/>
      </c>
      <c r="G5250" s="89" t="str">
        <f>IF(D5250="","",E5250*F5250)</f>
        <v/>
      </c>
    </row>
    <row r="5251" spans="1:11">
      <c r="A5251" s="832" t="s">
        <v>1908</v>
      </c>
      <c r="B5251" s="833" t="s">
        <v>1908</v>
      </c>
      <c r="C5251" s="833"/>
      <c r="D5251" s="833"/>
      <c r="E5251" s="833"/>
      <c r="F5251" s="834"/>
      <c r="G5251" s="90">
        <f>IF(F5249="","",(SUM(G5249:G5250)))</f>
        <v>12.928923000000001</v>
      </c>
    </row>
    <row r="5252" spans="1:11" ht="13.5" thickBot="1">
      <c r="A5252" s="91"/>
      <c r="B5252" s="92"/>
      <c r="C5252" s="163"/>
      <c r="D5252" s="99"/>
      <c r="E5252" s="100"/>
      <c r="F5252" s="101"/>
      <c r="G5252" s="102"/>
    </row>
    <row r="5253" spans="1:11" ht="13.5" thickBot="1">
      <c r="A5253" s="838" t="s">
        <v>1259</v>
      </c>
      <c r="B5253" s="839"/>
      <c r="C5253" s="839"/>
      <c r="D5253" s="839"/>
      <c r="E5253" s="839"/>
      <c r="F5253" s="840"/>
      <c r="G5253" s="103">
        <f>SUM(G5239,G5245,G5251)</f>
        <v>3345.8512110000001</v>
      </c>
    </row>
    <row r="5256" spans="1:11">
      <c r="A5256" s="237" t="s">
        <v>131</v>
      </c>
      <c r="B5256" s="190" t="s">
        <v>27</v>
      </c>
      <c r="C5256" s="841" t="s">
        <v>1281</v>
      </c>
      <c r="D5256" s="841"/>
      <c r="E5256" s="841"/>
      <c r="F5256" s="841"/>
      <c r="G5256" s="81" t="s">
        <v>127</v>
      </c>
      <c r="I5256" s="480" t="s">
        <v>1901</v>
      </c>
      <c r="J5256" s="80"/>
      <c r="K5256" s="80"/>
    </row>
    <row r="5257" spans="1:11" ht="50.1" customHeight="1">
      <c r="A5257" s="179" t="s">
        <v>981</v>
      </c>
      <c r="B5257" s="82"/>
      <c r="C5257" s="830" t="s">
        <v>982</v>
      </c>
      <c r="D5257" s="831"/>
      <c r="E5257" s="831"/>
      <c r="F5257" s="186">
        <f>G5276</f>
        <v>3545.8512110000001</v>
      </c>
      <c r="G5257" s="83" t="s">
        <v>167</v>
      </c>
      <c r="I5257" s="481"/>
      <c r="J5257" s="272"/>
      <c r="K5257" s="272"/>
    </row>
    <row r="5258" spans="1:11">
      <c r="A5258" s="818" t="s">
        <v>1902</v>
      </c>
      <c r="B5258" s="819"/>
      <c r="C5258" s="819"/>
      <c r="D5258" s="819"/>
      <c r="E5258" s="819"/>
      <c r="F5258" s="819"/>
      <c r="G5258" s="820"/>
    </row>
    <row r="5259" spans="1:11">
      <c r="A5259" s="84" t="s">
        <v>1903</v>
      </c>
      <c r="B5259" s="84" t="s">
        <v>131</v>
      </c>
      <c r="C5259" s="160" t="s">
        <v>1904</v>
      </c>
      <c r="D5259" s="84" t="s">
        <v>167</v>
      </c>
      <c r="E5259" s="85" t="s">
        <v>1905</v>
      </c>
      <c r="F5259" s="86" t="s">
        <v>1906</v>
      </c>
      <c r="G5259" s="86" t="s">
        <v>1907</v>
      </c>
    </row>
    <row r="5260" spans="1:11">
      <c r="A5260" s="87" t="s">
        <v>1917</v>
      </c>
      <c r="B5260" s="87" t="s">
        <v>2255</v>
      </c>
      <c r="C5260" s="278" t="str">
        <f>IF(B5260="","",IF($A$8="NÃO DESONERADO",(IF(A5260="SINAPI",VLOOKUP(B5260,#REF!,2,0),IF(A5260="SUDECAP",VLOOKUP(B5260,#REF!,3,0),IF(A5260="SETOP",VLOOKUP(B5260,#REF!,2,0),IF(A5260="COTAÇÃO",VLOOKUP(B5260,'Mapa Cotações'!$A:$N,2,0)))))),(IF(A5260="SINAPI",VLOOKUP(B5260,#REF!,2,0),IF(A5260="SUDECAP",VLOOKUP(B5260,#REF!,3,0),IF(A5260="SETOP",VLOOKUP(B5260,#REF!,2,0),IF(A5260="COTAÇÃO",VLOOKUP(B5260,'Mapa Cotações'!$A:$N,2,0))))))))</f>
        <v>QUADRO ELÉTRICO DE EMBUTIR QDT-3PB-TIPICO 2</v>
      </c>
      <c r="D5260" s="89" t="str">
        <f>IF(B5260="","",IF($A$8="NÃO DESONERADO",(IF(A5260="SINAPI",VLOOKUP(B5260,#REF!,3,0),IF(A5260="SUDECAP",VLOOKUP(B5260,#REF!,4,0),IF(A5260="SETOP",VLOOKUP(B5260,#REF!,3,0),IF(A5260="COTAÇÃO",VLOOKUP(B5260,'Mapa Cotações'!$A:$N,3,0)))))),(IF(A5260="SINAPI",VLOOKUP(B5260,#REF!,3,0),IF(A5260="SUDECAP",VLOOKUP(B5260,#REF!,4,0),IF(A5260="SETOP",VLOOKUP(B5260,#REF!,3,0),IF(A5260="COTAÇÃO",VLOOKUP(B5260,'Mapa Cotações'!$A:$N,3,0))))))))</f>
        <v>UN</v>
      </c>
      <c r="E5260" s="88">
        <v>1</v>
      </c>
      <c r="F5260" s="89">
        <f>IF(B5260="","",IF($A$8="NÃO DESONERADO",(IF(A5260="SINAPI",VLOOKUP(B5260,#REF!,4,0),IF(A5260="SUDECAP",VLOOKUP(B5260,#REF!,5,0),IF(A5260="SETOP",VLOOKUP(B5260,#REF!,4,0),IF(A5260="COTAÇÃO",VLOOKUP(B5260,'Mapa Cotações'!$A:$N,13,0)))))),(IF(A5260="SINAPI",VLOOKUP(B5260,#REF!,4,0),IF(A5260="SUDECAP",VLOOKUP(B5260,#REF!,5,0),IF(A5260="SETOP",VLOOKUP(B5260,#REF!,4,0),IF(A5260="COTAÇÃO",VLOOKUP(B5260,'Mapa Cotações'!$A:$N,13,0))))))))</f>
        <v>3500</v>
      </c>
      <c r="G5260" s="89">
        <f>IF(D5260="","",E5260*F5260)</f>
        <v>3500</v>
      </c>
    </row>
    <row r="5261" spans="1:11">
      <c r="A5261" s="87"/>
      <c r="B5261" s="87"/>
      <c r="C5261" s="278" t="str">
        <f>IF(B5261="","",IF($A$8="NÃO DESONERADO",(IF(A5261="SINAPI",VLOOKUP(B5261,#REF!,2,0),IF(A5261="SUDECAP",VLOOKUP(B5261,#REF!,3,0),IF(A5261="SETOP",VLOOKUP(B5261,#REF!,2,0),IF(A5261="COTAÇÃO",VLOOKUP(B5261,'Mapa Cotações'!$A:$N,2,0)))))),(IF(A5261="SINAPI",VLOOKUP(B5261,#REF!,2,0),IF(A5261="SUDECAP",VLOOKUP(B5261,#REF!,3,0),IF(A5261="SETOP",VLOOKUP(B5261,#REF!,2,0),IF(A5261="COTAÇÃO",VLOOKUP(B5261,'Mapa Cotações'!$A:$N,2,0))))))))</f>
        <v/>
      </c>
      <c r="D5261" s="89" t="str">
        <f>IF(B5261="","",IF($A$8="NÃO DESONERADO",(IF(A5261="SINAPI",VLOOKUP(B5261,#REF!,3,0),IF(A5261="SUDECAP",VLOOKUP(B5261,#REF!,4,0),IF(A5261="SETOP",VLOOKUP(B5261,#REF!,3,0),IF(A5261="COTAÇÃO",VLOOKUP(B5261,'Mapa Cotações'!$A:$N,3,0)))))),(IF(A5261="SINAPI",VLOOKUP(B5261,#REF!,3,0),IF(A5261="SUDECAP",VLOOKUP(B5261,#REF!,4,0),IF(A5261="SETOP",VLOOKUP(B5261,#REF!,3,0),IF(A5261="COTAÇÃO",VLOOKUP(B5261,'Mapa Cotações'!$A:$N,3,0))))))))</f>
        <v/>
      </c>
      <c r="E5261" s="88"/>
      <c r="F5261" s="89" t="str">
        <f>IF(B5261="","",IF($A$8="NÃO DESONERADO",(IF(A5261="SINAPI",VLOOKUP(B5261,#REF!,4,0),IF(A5261="SUDECAP",VLOOKUP(B5261,#REF!,5,0),IF(A5261="SETOP",VLOOKUP(B5261,#REF!,4,0),IF(A5261="COTAÇÃO",VLOOKUP(B5261,'Mapa Cotações'!$A:$N,13,0)))))),(IF(A5261="SINAPI",VLOOKUP(B5261,#REF!,4,0),IF(A5261="SUDECAP",VLOOKUP(B5261,#REF!,5,0),IF(A5261="SETOP",VLOOKUP(B5261,#REF!,4,0),IF(A5261="COTAÇÃO",VLOOKUP(B5261,'Mapa Cotações'!$A:$N,13,0))))))))</f>
        <v/>
      </c>
      <c r="G5261" s="89" t="str">
        <f>IF(D5261="","",E5261*F5261)</f>
        <v/>
      </c>
    </row>
    <row r="5262" spans="1:11">
      <c r="A5262" s="832" t="s">
        <v>1908</v>
      </c>
      <c r="B5262" s="833"/>
      <c r="C5262" s="833"/>
      <c r="D5262" s="833"/>
      <c r="E5262" s="833"/>
      <c r="F5262" s="834"/>
      <c r="G5262" s="90">
        <f>IF(F5260="","",(SUM(G5260:G5261)))</f>
        <v>3500</v>
      </c>
    </row>
    <row r="5263" spans="1:11">
      <c r="A5263" s="91"/>
      <c r="B5263" s="92"/>
      <c r="C5263" s="161"/>
      <c r="D5263" s="93"/>
      <c r="E5263" s="94"/>
      <c r="F5263" s="95"/>
      <c r="G5263" s="96"/>
    </row>
    <row r="5264" spans="1:11">
      <c r="A5264" s="835" t="s">
        <v>1909</v>
      </c>
      <c r="B5264" s="836"/>
      <c r="C5264" s="836"/>
      <c r="D5264" s="836"/>
      <c r="E5264" s="836"/>
      <c r="F5264" s="836"/>
      <c r="G5264" s="837"/>
    </row>
    <row r="5265" spans="1:11">
      <c r="A5265" s="84" t="s">
        <v>1903</v>
      </c>
      <c r="B5265" s="84" t="s">
        <v>131</v>
      </c>
      <c r="C5265" s="160" t="s">
        <v>1904</v>
      </c>
      <c r="D5265" s="84" t="s">
        <v>167</v>
      </c>
      <c r="E5265" s="85" t="s">
        <v>1905</v>
      </c>
      <c r="F5265" s="86" t="s">
        <v>1906</v>
      </c>
      <c r="G5265" s="86" t="s">
        <v>1907</v>
      </c>
    </row>
    <row r="5266" spans="1:11">
      <c r="A5266" s="87" t="s">
        <v>2</v>
      </c>
      <c r="B5266" s="87">
        <v>88264</v>
      </c>
      <c r="C5266" s="278" t="s">
        <v>1910</v>
      </c>
      <c r="D5266" s="89" t="s">
        <v>2087</v>
      </c>
      <c r="E5266" s="88">
        <v>0.63839999999999997</v>
      </c>
      <c r="F5266" s="89">
        <v>28.54</v>
      </c>
      <c r="G5266" s="89">
        <f>IF(D5266="","",E5266*F5266)</f>
        <v>18.219935999999997</v>
      </c>
    </row>
    <row r="5267" spans="1:11" ht="24">
      <c r="A5267" s="87" t="s">
        <v>2</v>
      </c>
      <c r="B5267" s="87">
        <v>88247</v>
      </c>
      <c r="C5267" s="473" t="s">
        <v>1911</v>
      </c>
      <c r="D5267" s="89" t="s">
        <v>2087</v>
      </c>
      <c r="E5267" s="88">
        <v>0.63839999999999997</v>
      </c>
      <c r="F5267" s="89">
        <v>23.03</v>
      </c>
      <c r="G5267" s="89">
        <f>IF(D5267="","",E5267*F5267)</f>
        <v>14.702351999999999</v>
      </c>
    </row>
    <row r="5268" spans="1:11">
      <c r="A5268" s="832" t="s">
        <v>1908</v>
      </c>
      <c r="B5268" s="833"/>
      <c r="C5268" s="833"/>
      <c r="D5268" s="833"/>
      <c r="E5268" s="833"/>
      <c r="F5268" s="834"/>
      <c r="G5268" s="90">
        <f>IF(F5266="","",(SUM(G5266:G5267)))</f>
        <v>32.922287999999995</v>
      </c>
    </row>
    <row r="5269" spans="1:11">
      <c r="A5269" s="91"/>
      <c r="B5269" s="92"/>
      <c r="C5269" s="162"/>
      <c r="D5269" s="92"/>
      <c r="E5269" s="97"/>
      <c r="F5269" s="98"/>
      <c r="G5269" s="96"/>
    </row>
    <row r="5270" spans="1:11">
      <c r="A5270" s="835" t="s">
        <v>1912</v>
      </c>
      <c r="B5270" s="836"/>
      <c r="C5270" s="836"/>
      <c r="D5270" s="836"/>
      <c r="E5270" s="836"/>
      <c r="F5270" s="836"/>
      <c r="G5270" s="837"/>
    </row>
    <row r="5271" spans="1:11">
      <c r="A5271" s="84" t="s">
        <v>1903</v>
      </c>
      <c r="B5271" s="84" t="s">
        <v>131</v>
      </c>
      <c r="C5271" s="160" t="s">
        <v>1904</v>
      </c>
      <c r="D5271" s="84" t="s">
        <v>167</v>
      </c>
      <c r="E5271" s="85" t="s">
        <v>1905</v>
      </c>
      <c r="F5271" s="86" t="s">
        <v>1906</v>
      </c>
      <c r="G5271" s="86" t="s">
        <v>1907</v>
      </c>
    </row>
    <row r="5272" spans="1:11" ht="48">
      <c r="A5272" s="87" t="s">
        <v>2</v>
      </c>
      <c r="B5272" s="87">
        <v>87367</v>
      </c>
      <c r="C5272" s="278" t="s">
        <v>1934</v>
      </c>
      <c r="D5272" s="89" t="s">
        <v>2249</v>
      </c>
      <c r="E5272" s="88">
        <v>1.89E-2</v>
      </c>
      <c r="F5272" s="89">
        <v>684.07</v>
      </c>
      <c r="G5272" s="89">
        <f>IF(D5272="","",E5272*F5272)</f>
        <v>12.928923000000001</v>
      </c>
    </row>
    <row r="5273" spans="1:11">
      <c r="A5273" s="87"/>
      <c r="B5273" s="87"/>
      <c r="C5273" s="278" t="str">
        <f>IF(B5273="","",IF($A$8="NÃO DESONERADO",(IF(A5273="SINAPI",VLOOKUP(B5273,#REF!,2,0),IF(A5273="SUDECAP",VLOOKUP(B5273,#REF!,3,0),IF(A5273="SETOP",VLOOKUP(B5273,#REF!,2,0),IF(A5273="COTAÇÃO",VLOOKUP(B5273,'Mapa Cotações'!$A:$N,2,0)))))),(IF(A5273="SINAPI",VLOOKUP(B5273,#REF!,2,0),IF(A5273="SUDECAP",VLOOKUP(B5273,#REF!,3,0),IF(A5273="SETOP",VLOOKUP(B5273,#REF!,2,0),IF(A5273="COTAÇÃO",VLOOKUP(B5273,'Mapa Cotações'!$A:$N,2,0))))))))</f>
        <v/>
      </c>
      <c r="D5273" s="89" t="str">
        <f>IF(B5273="","",IF($A$8="NÃO DESONERADO",(IF(A5273="SINAPI",VLOOKUP(B5273,#REF!,3,0),IF(A5273="SUDECAP",VLOOKUP(B5273,#REF!,4,0),IF(A5273="SETOP",VLOOKUP(B5273,#REF!,3,0),IF(A5273="COTAÇÃO",VLOOKUP(B5273,'Mapa Cotações'!$A:$N,3,0)))))),(IF(A5273="SINAPI",VLOOKUP(B5273,#REF!,3,0),IF(A5273="SUDECAP",VLOOKUP(B5273,#REF!,4,0),IF(A5273="SETOP",VLOOKUP(B5273,#REF!,3,0),IF(A5273="COTAÇÃO",VLOOKUP(B5273,'Mapa Cotações'!$A:$N,3,0))))))))</f>
        <v/>
      </c>
      <c r="E5273" s="88"/>
      <c r="F5273" s="89" t="str">
        <f>IF(B5273="","",IF($A$8="NÃO DESONERADO",(IF(A5273="SINAPI",VLOOKUP(B5273,#REF!,4,0),IF(A5273="SUDECAP",VLOOKUP(B5273,#REF!,5,0),IF(A5273="SETOP",VLOOKUP(B5273,#REF!,4,0),IF(A5273="COTAÇÃO",VLOOKUP(B5273,'Mapa Cotações'!$A:$N,13,0)))))),(IF(A5273="SINAPI",VLOOKUP(B5273,#REF!,4,0),IF(A5273="SUDECAP",VLOOKUP(B5273,#REF!,5,0),IF(A5273="SETOP",VLOOKUP(B5273,#REF!,4,0),IF(A5273="COTAÇÃO",VLOOKUP(B5273,'Mapa Cotações'!$A:$N,13,0))))))))</f>
        <v/>
      </c>
      <c r="G5273" s="89" t="str">
        <f>IF(D5273="","",E5273*F5273)</f>
        <v/>
      </c>
    </row>
    <row r="5274" spans="1:11">
      <c r="A5274" s="832" t="s">
        <v>1908</v>
      </c>
      <c r="B5274" s="833" t="s">
        <v>1908</v>
      </c>
      <c r="C5274" s="833"/>
      <c r="D5274" s="833"/>
      <c r="E5274" s="833"/>
      <c r="F5274" s="834"/>
      <c r="G5274" s="90">
        <f>IF(F5272="","",(SUM(G5272:G5273)))</f>
        <v>12.928923000000001</v>
      </c>
    </row>
    <row r="5275" spans="1:11" ht="13.5" thickBot="1">
      <c r="A5275" s="91"/>
      <c r="B5275" s="92"/>
      <c r="C5275" s="163"/>
      <c r="D5275" s="99"/>
      <c r="E5275" s="100"/>
      <c r="F5275" s="101"/>
      <c r="G5275" s="102"/>
    </row>
    <row r="5276" spans="1:11" ht="13.5" thickBot="1">
      <c r="A5276" s="838" t="s">
        <v>1259</v>
      </c>
      <c r="B5276" s="839"/>
      <c r="C5276" s="839"/>
      <c r="D5276" s="839"/>
      <c r="E5276" s="839"/>
      <c r="F5276" s="840"/>
      <c r="G5276" s="103">
        <f>SUM(G5262,G5268,G5274)</f>
        <v>3545.8512110000001</v>
      </c>
    </row>
    <row r="5279" spans="1:11">
      <c r="A5279" s="237" t="s">
        <v>131</v>
      </c>
      <c r="B5279" s="190" t="s">
        <v>27</v>
      </c>
      <c r="C5279" s="841" t="s">
        <v>1281</v>
      </c>
      <c r="D5279" s="841"/>
      <c r="E5279" s="841"/>
      <c r="F5279" s="841"/>
      <c r="G5279" s="81" t="s">
        <v>127</v>
      </c>
      <c r="I5279" s="480" t="s">
        <v>1901</v>
      </c>
      <c r="J5279" s="80"/>
      <c r="K5279" s="80"/>
    </row>
    <row r="5280" spans="1:11" ht="50.1" customHeight="1">
      <c r="A5280" s="179" t="s">
        <v>984</v>
      </c>
      <c r="B5280" s="82"/>
      <c r="C5280" s="830" t="s">
        <v>985</v>
      </c>
      <c r="D5280" s="831"/>
      <c r="E5280" s="831"/>
      <c r="F5280" s="186">
        <f>G5299</f>
        <v>3545.8512110000001</v>
      </c>
      <c r="G5280" s="83" t="s">
        <v>167</v>
      </c>
      <c r="I5280" s="481"/>
      <c r="J5280" s="272"/>
      <c r="K5280" s="272"/>
    </row>
    <row r="5281" spans="1:7">
      <c r="A5281" s="818" t="s">
        <v>1902</v>
      </c>
      <c r="B5281" s="819"/>
      <c r="C5281" s="819"/>
      <c r="D5281" s="819"/>
      <c r="E5281" s="819"/>
      <c r="F5281" s="819"/>
      <c r="G5281" s="820"/>
    </row>
    <row r="5282" spans="1:7">
      <c r="A5282" s="84" t="s">
        <v>1903</v>
      </c>
      <c r="B5282" s="84" t="s">
        <v>131</v>
      </c>
      <c r="C5282" s="160" t="s">
        <v>1904</v>
      </c>
      <c r="D5282" s="84" t="s">
        <v>167</v>
      </c>
      <c r="E5282" s="85" t="s">
        <v>1905</v>
      </c>
      <c r="F5282" s="86" t="s">
        <v>1906</v>
      </c>
      <c r="G5282" s="86" t="s">
        <v>1907</v>
      </c>
    </row>
    <row r="5283" spans="1:7">
      <c r="A5283" s="87" t="s">
        <v>1917</v>
      </c>
      <c r="B5283" s="87" t="s">
        <v>2256</v>
      </c>
      <c r="C5283" s="278" t="str">
        <f>IF(B5283="","",IF($A$8="NÃO DESONERADO",(IF(A5283="SINAPI",VLOOKUP(B5283,#REF!,2,0),IF(A5283="SUDECAP",VLOOKUP(B5283,#REF!,3,0),IF(A5283="SETOP",VLOOKUP(B5283,#REF!,2,0),IF(A5283="COTAÇÃO",VLOOKUP(B5283,'Mapa Cotações'!$A:$N,2,0)))))),(IF(A5283="SINAPI",VLOOKUP(B5283,#REF!,2,0),IF(A5283="SUDECAP",VLOOKUP(B5283,#REF!,3,0),IF(A5283="SETOP",VLOOKUP(B5283,#REF!,2,0),IF(A5283="COTAÇÃO",VLOOKUP(B5283,'Mapa Cotações'!$A:$N,2,0))))))))</f>
        <v>QUADRO ELÉTRICO DE EMBUTIR QDT-3PB-TIPICO 3</v>
      </c>
      <c r="D5283" s="89" t="str">
        <f>IF(B5283="","",IF($A$8="NÃO DESONERADO",(IF(A5283="SINAPI",VLOOKUP(B5283,#REF!,3,0),IF(A5283="SUDECAP",VLOOKUP(B5283,#REF!,4,0),IF(A5283="SETOP",VLOOKUP(B5283,#REF!,3,0),IF(A5283="COTAÇÃO",VLOOKUP(B5283,'Mapa Cotações'!$A:$N,3,0)))))),(IF(A5283="SINAPI",VLOOKUP(B5283,#REF!,3,0),IF(A5283="SUDECAP",VLOOKUP(B5283,#REF!,4,0),IF(A5283="SETOP",VLOOKUP(B5283,#REF!,3,0),IF(A5283="COTAÇÃO",VLOOKUP(B5283,'Mapa Cotações'!$A:$N,3,0))))))))</f>
        <v>UN</v>
      </c>
      <c r="E5283" s="88">
        <v>1</v>
      </c>
      <c r="F5283" s="89">
        <f>IF(B5283="","",IF($A$8="NÃO DESONERADO",(IF(A5283="SINAPI",VLOOKUP(B5283,#REF!,4,0),IF(A5283="SUDECAP",VLOOKUP(B5283,#REF!,5,0),IF(A5283="SETOP",VLOOKUP(B5283,#REF!,4,0),IF(A5283="COTAÇÃO",VLOOKUP(B5283,'Mapa Cotações'!$A:$N,13,0)))))),(IF(A5283="SINAPI",VLOOKUP(B5283,#REF!,4,0),IF(A5283="SUDECAP",VLOOKUP(B5283,#REF!,5,0),IF(A5283="SETOP",VLOOKUP(B5283,#REF!,4,0),IF(A5283="COTAÇÃO",VLOOKUP(B5283,'Mapa Cotações'!$A:$N,13,0))))))))</f>
        <v>3500</v>
      </c>
      <c r="G5283" s="89">
        <f>IF(D5283="","",E5283*F5283)</f>
        <v>3500</v>
      </c>
    </row>
    <row r="5284" spans="1:7">
      <c r="A5284" s="87"/>
      <c r="B5284" s="87"/>
      <c r="C5284" s="278" t="str">
        <f>IF(B5284="","",IF($A$8="NÃO DESONERADO",(IF(A5284="SINAPI",VLOOKUP(B5284,#REF!,2,0),IF(A5284="SUDECAP",VLOOKUP(B5284,#REF!,3,0),IF(A5284="SETOP",VLOOKUP(B5284,#REF!,2,0),IF(A5284="COTAÇÃO",VLOOKUP(B5284,'Mapa Cotações'!$A:$N,2,0)))))),(IF(A5284="SINAPI",VLOOKUP(B5284,#REF!,2,0),IF(A5284="SUDECAP",VLOOKUP(B5284,#REF!,3,0),IF(A5284="SETOP",VLOOKUP(B5284,#REF!,2,0),IF(A5284="COTAÇÃO",VLOOKUP(B5284,'Mapa Cotações'!$A:$N,2,0))))))))</f>
        <v/>
      </c>
      <c r="D5284" s="89" t="str">
        <f>IF(B5284="","",IF($A$8="NÃO DESONERADO",(IF(A5284="SINAPI",VLOOKUP(B5284,#REF!,3,0),IF(A5284="SUDECAP",VLOOKUP(B5284,#REF!,4,0),IF(A5284="SETOP",VLOOKUP(B5284,#REF!,3,0),IF(A5284="COTAÇÃO",VLOOKUP(B5284,'Mapa Cotações'!$A:$N,3,0)))))),(IF(A5284="SINAPI",VLOOKUP(B5284,#REF!,3,0),IF(A5284="SUDECAP",VLOOKUP(B5284,#REF!,4,0),IF(A5284="SETOP",VLOOKUP(B5284,#REF!,3,0),IF(A5284="COTAÇÃO",VLOOKUP(B5284,'Mapa Cotações'!$A:$N,3,0))))))))</f>
        <v/>
      </c>
      <c r="E5284" s="88"/>
      <c r="F5284" s="89" t="str">
        <f>IF(B5284="","",IF($A$8="NÃO DESONERADO",(IF(A5284="SINAPI",VLOOKUP(B5284,#REF!,4,0),IF(A5284="SUDECAP",VLOOKUP(B5284,#REF!,5,0),IF(A5284="SETOP",VLOOKUP(B5284,#REF!,4,0),IF(A5284="COTAÇÃO",VLOOKUP(B5284,'Mapa Cotações'!$A:$N,13,0)))))),(IF(A5284="SINAPI",VLOOKUP(B5284,#REF!,4,0),IF(A5284="SUDECAP",VLOOKUP(B5284,#REF!,5,0),IF(A5284="SETOP",VLOOKUP(B5284,#REF!,4,0),IF(A5284="COTAÇÃO",VLOOKUP(B5284,'Mapa Cotações'!$A:$N,13,0))))))))</f>
        <v/>
      </c>
      <c r="G5284" s="89" t="str">
        <f>IF(D5284="","",E5284*F5284)</f>
        <v/>
      </c>
    </row>
    <row r="5285" spans="1:7">
      <c r="A5285" s="832" t="s">
        <v>1908</v>
      </c>
      <c r="B5285" s="833"/>
      <c r="C5285" s="833"/>
      <c r="D5285" s="833"/>
      <c r="E5285" s="833"/>
      <c r="F5285" s="834"/>
      <c r="G5285" s="90">
        <f>IF(F5283="","",(SUM(G5283:G5284)))</f>
        <v>3500</v>
      </c>
    </row>
    <row r="5286" spans="1:7">
      <c r="A5286" s="91"/>
      <c r="B5286" s="92"/>
      <c r="C5286" s="161"/>
      <c r="D5286" s="93"/>
      <c r="E5286" s="94"/>
      <c r="F5286" s="95"/>
      <c r="G5286" s="96"/>
    </row>
    <row r="5287" spans="1:7">
      <c r="A5287" s="835" t="s">
        <v>1909</v>
      </c>
      <c r="B5287" s="836"/>
      <c r="C5287" s="836"/>
      <c r="D5287" s="836"/>
      <c r="E5287" s="836"/>
      <c r="F5287" s="836"/>
      <c r="G5287" s="837"/>
    </row>
    <row r="5288" spans="1:7">
      <c r="A5288" s="84" t="s">
        <v>1903</v>
      </c>
      <c r="B5288" s="84" t="s">
        <v>131</v>
      </c>
      <c r="C5288" s="160" t="s">
        <v>1904</v>
      </c>
      <c r="D5288" s="84" t="s">
        <v>167</v>
      </c>
      <c r="E5288" s="85" t="s">
        <v>1905</v>
      </c>
      <c r="F5288" s="86" t="s">
        <v>1906</v>
      </c>
      <c r="G5288" s="86" t="s">
        <v>1907</v>
      </c>
    </row>
    <row r="5289" spans="1:7">
      <c r="A5289" s="87" t="s">
        <v>2</v>
      </c>
      <c r="B5289" s="87">
        <v>88264</v>
      </c>
      <c r="C5289" s="278" t="s">
        <v>1910</v>
      </c>
      <c r="D5289" s="89" t="s">
        <v>2087</v>
      </c>
      <c r="E5289" s="88">
        <v>0.63839999999999997</v>
      </c>
      <c r="F5289" s="89">
        <v>28.54</v>
      </c>
      <c r="G5289" s="89">
        <f>IF(D5289="","",E5289*F5289)</f>
        <v>18.219935999999997</v>
      </c>
    </row>
    <row r="5290" spans="1:7" ht="24">
      <c r="A5290" s="87" t="s">
        <v>2</v>
      </c>
      <c r="B5290" s="87">
        <v>88247</v>
      </c>
      <c r="C5290" s="473" t="s">
        <v>1911</v>
      </c>
      <c r="D5290" s="89" t="s">
        <v>2087</v>
      </c>
      <c r="E5290" s="88">
        <v>0.63839999999999997</v>
      </c>
      <c r="F5290" s="89">
        <v>23.03</v>
      </c>
      <c r="G5290" s="89">
        <f>IF(D5290="","",E5290*F5290)</f>
        <v>14.702351999999999</v>
      </c>
    </row>
    <row r="5291" spans="1:7">
      <c r="A5291" s="832" t="s">
        <v>1908</v>
      </c>
      <c r="B5291" s="833"/>
      <c r="C5291" s="833"/>
      <c r="D5291" s="833"/>
      <c r="E5291" s="833"/>
      <c r="F5291" s="834"/>
      <c r="G5291" s="90">
        <f>IF(F5289="","",(SUM(G5289:G5290)))</f>
        <v>32.922287999999995</v>
      </c>
    </row>
    <row r="5292" spans="1:7">
      <c r="A5292" s="91"/>
      <c r="B5292" s="92"/>
      <c r="C5292" s="162"/>
      <c r="D5292" s="92"/>
      <c r="E5292" s="97"/>
      <c r="F5292" s="98"/>
      <c r="G5292" s="96"/>
    </row>
    <row r="5293" spans="1:7">
      <c r="A5293" s="835" t="s">
        <v>1912</v>
      </c>
      <c r="B5293" s="836"/>
      <c r="C5293" s="836"/>
      <c r="D5293" s="836"/>
      <c r="E5293" s="836"/>
      <c r="F5293" s="836"/>
      <c r="G5293" s="837"/>
    </row>
    <row r="5294" spans="1:7">
      <c r="A5294" s="84" t="s">
        <v>1903</v>
      </c>
      <c r="B5294" s="84" t="s">
        <v>131</v>
      </c>
      <c r="C5294" s="160" t="s">
        <v>1904</v>
      </c>
      <c r="D5294" s="84" t="s">
        <v>167</v>
      </c>
      <c r="E5294" s="85" t="s">
        <v>1905</v>
      </c>
      <c r="F5294" s="86" t="s">
        <v>1906</v>
      </c>
      <c r="G5294" s="86" t="s">
        <v>1907</v>
      </c>
    </row>
    <row r="5295" spans="1:7" ht="48">
      <c r="A5295" s="87" t="s">
        <v>2</v>
      </c>
      <c r="B5295" s="87">
        <v>87367</v>
      </c>
      <c r="C5295" s="278" t="s">
        <v>1934</v>
      </c>
      <c r="D5295" s="89" t="s">
        <v>2249</v>
      </c>
      <c r="E5295" s="88">
        <v>1.89E-2</v>
      </c>
      <c r="F5295" s="89">
        <v>684.07</v>
      </c>
      <c r="G5295" s="89">
        <f>IF(D5295="","",E5295*F5295)</f>
        <v>12.928923000000001</v>
      </c>
    </row>
    <row r="5296" spans="1:7">
      <c r="A5296" s="87"/>
      <c r="B5296" s="87"/>
      <c r="C5296" s="278" t="str">
        <f>IF(B5296="","",IF($A$8="NÃO DESONERADO",(IF(A5296="SINAPI",VLOOKUP(B5296,#REF!,2,0),IF(A5296="SUDECAP",VLOOKUP(B5296,#REF!,3,0),IF(A5296="SETOP",VLOOKUP(B5296,#REF!,2,0),IF(A5296="COTAÇÃO",VLOOKUP(B5296,'Mapa Cotações'!$A:$N,2,0)))))),(IF(A5296="SINAPI",VLOOKUP(B5296,#REF!,2,0),IF(A5296="SUDECAP",VLOOKUP(B5296,#REF!,3,0),IF(A5296="SETOP",VLOOKUP(B5296,#REF!,2,0),IF(A5296="COTAÇÃO",VLOOKUP(B5296,'Mapa Cotações'!$A:$N,2,0))))))))</f>
        <v/>
      </c>
      <c r="D5296" s="89" t="str">
        <f>IF(B5296="","",IF($A$8="NÃO DESONERADO",(IF(A5296="SINAPI",VLOOKUP(B5296,#REF!,3,0),IF(A5296="SUDECAP",VLOOKUP(B5296,#REF!,4,0),IF(A5296="SETOP",VLOOKUP(B5296,#REF!,3,0),IF(A5296="COTAÇÃO",VLOOKUP(B5296,'Mapa Cotações'!$A:$N,3,0)))))),(IF(A5296="SINAPI",VLOOKUP(B5296,#REF!,3,0),IF(A5296="SUDECAP",VLOOKUP(B5296,#REF!,4,0),IF(A5296="SETOP",VLOOKUP(B5296,#REF!,3,0),IF(A5296="COTAÇÃO",VLOOKUP(B5296,'Mapa Cotações'!$A:$N,3,0))))))))</f>
        <v/>
      </c>
      <c r="E5296" s="88"/>
      <c r="F5296" s="89" t="str">
        <f>IF(B5296="","",IF($A$8="NÃO DESONERADO",(IF(A5296="SINAPI",VLOOKUP(B5296,#REF!,4,0),IF(A5296="SUDECAP",VLOOKUP(B5296,#REF!,5,0),IF(A5296="SETOP",VLOOKUP(B5296,#REF!,4,0),IF(A5296="COTAÇÃO",VLOOKUP(B5296,'Mapa Cotações'!$A:$N,13,0)))))),(IF(A5296="SINAPI",VLOOKUP(B5296,#REF!,4,0),IF(A5296="SUDECAP",VLOOKUP(B5296,#REF!,5,0),IF(A5296="SETOP",VLOOKUP(B5296,#REF!,4,0),IF(A5296="COTAÇÃO",VLOOKUP(B5296,'Mapa Cotações'!$A:$N,13,0))))))))</f>
        <v/>
      </c>
      <c r="G5296" s="89" t="str">
        <f>IF(D5296="","",E5296*F5296)</f>
        <v/>
      </c>
    </row>
    <row r="5297" spans="1:11">
      <c r="A5297" s="832" t="s">
        <v>1908</v>
      </c>
      <c r="B5297" s="833" t="s">
        <v>1908</v>
      </c>
      <c r="C5297" s="833"/>
      <c r="D5297" s="833"/>
      <c r="E5297" s="833"/>
      <c r="F5297" s="834"/>
      <c r="G5297" s="90">
        <f>IF(F5295="","",(SUM(G5295:G5296)))</f>
        <v>12.928923000000001</v>
      </c>
    </row>
    <row r="5298" spans="1:11" ht="13.5" thickBot="1">
      <c r="A5298" s="91"/>
      <c r="B5298" s="92"/>
      <c r="C5298" s="163"/>
      <c r="D5298" s="99"/>
      <c r="E5298" s="100"/>
      <c r="F5298" s="101"/>
      <c r="G5298" s="102"/>
    </row>
    <row r="5299" spans="1:11" ht="13.5" thickBot="1">
      <c r="A5299" s="838" t="s">
        <v>1259</v>
      </c>
      <c r="B5299" s="839"/>
      <c r="C5299" s="839"/>
      <c r="D5299" s="839"/>
      <c r="E5299" s="839"/>
      <c r="F5299" s="840"/>
      <c r="G5299" s="103">
        <f>SUM(G5285,G5291,G5297)</f>
        <v>3545.8512110000001</v>
      </c>
    </row>
    <row r="5302" spans="1:11">
      <c r="A5302" s="237" t="s">
        <v>131</v>
      </c>
      <c r="B5302" s="190" t="s">
        <v>27</v>
      </c>
      <c r="C5302" s="841" t="s">
        <v>1281</v>
      </c>
      <c r="D5302" s="841"/>
      <c r="E5302" s="841"/>
      <c r="F5302" s="841"/>
      <c r="G5302" s="81" t="s">
        <v>127</v>
      </c>
      <c r="I5302" s="480" t="s">
        <v>1901</v>
      </c>
      <c r="J5302" s="80"/>
      <c r="K5302" s="80"/>
    </row>
    <row r="5303" spans="1:11" ht="50.1" customHeight="1">
      <c r="A5303" s="179" t="s">
        <v>1202</v>
      </c>
      <c r="B5303" s="82"/>
      <c r="C5303" s="830" t="s">
        <v>1203</v>
      </c>
      <c r="D5303" s="831"/>
      <c r="E5303" s="831"/>
      <c r="F5303" s="186">
        <f>G5322</f>
        <v>13519.820533</v>
      </c>
      <c r="G5303" s="83" t="s">
        <v>167</v>
      </c>
      <c r="I5303" s="481"/>
      <c r="J5303" s="272"/>
      <c r="K5303" s="272"/>
    </row>
    <row r="5304" spans="1:11">
      <c r="A5304" s="818" t="s">
        <v>1902</v>
      </c>
      <c r="B5304" s="819"/>
      <c r="C5304" s="819"/>
      <c r="D5304" s="819"/>
      <c r="E5304" s="819"/>
      <c r="F5304" s="819"/>
      <c r="G5304" s="820"/>
    </row>
    <row r="5305" spans="1:11">
      <c r="A5305" s="84" t="s">
        <v>1903</v>
      </c>
      <c r="B5305" s="84" t="s">
        <v>131</v>
      </c>
      <c r="C5305" s="160" t="s">
        <v>1904</v>
      </c>
      <c r="D5305" s="84" t="s">
        <v>167</v>
      </c>
      <c r="E5305" s="85" t="s">
        <v>1905</v>
      </c>
      <c r="F5305" s="86" t="s">
        <v>1906</v>
      </c>
      <c r="G5305" s="86" t="s">
        <v>1907</v>
      </c>
    </row>
    <row r="5306" spans="1:11">
      <c r="A5306" s="87" t="s">
        <v>1917</v>
      </c>
      <c r="B5306" s="87" t="s">
        <v>2257</v>
      </c>
      <c r="C5306" s="278" t="str">
        <f>IF(B5306="","",IF($A$8="NÃO DESONERADO",(IF(A5306="SINAPI",VLOOKUP(B5306,#REF!,2,0),IF(A5306="SUDECAP",VLOOKUP(B5306,#REF!,3,0),IF(A5306="SETOP",VLOOKUP(B5306,#REF!,2,0),IF(A5306="COTAÇÃO",VLOOKUP(B5306,'Mapa Cotações'!$A:$N,2,0)))))),(IF(A5306="SINAPI",VLOOKUP(B5306,#REF!,2,0),IF(A5306="SUDECAP",VLOOKUP(B5306,#REF!,3,0),IF(A5306="SETOP",VLOOKUP(B5306,#REF!,2,0),IF(A5306="COTAÇÃO",VLOOKUP(B5306,'Mapa Cotações'!$A:$N,2,0))))))))</f>
        <v>PAINEL DE AUTOMAÇÃO QCOM-1-3PB-1</v>
      </c>
      <c r="D5306" s="89" t="str">
        <f>IF(B5306="","",IF($A$8="NÃO DESONERADO",(IF(A5306="SINAPI",VLOOKUP(B5306,#REF!,3,0),IF(A5306="SUDECAP",VLOOKUP(B5306,#REF!,4,0),IF(A5306="SETOP",VLOOKUP(B5306,#REF!,3,0),IF(A5306="COTAÇÃO",VLOOKUP(B5306,'Mapa Cotações'!$A:$N,3,0)))))),(IF(A5306="SINAPI",VLOOKUP(B5306,#REF!,3,0),IF(A5306="SUDECAP",VLOOKUP(B5306,#REF!,4,0),IF(A5306="SETOP",VLOOKUP(B5306,#REF!,3,0),IF(A5306="COTAÇÃO",VLOOKUP(B5306,'Mapa Cotações'!$A:$N,3,0))))))))</f>
        <v>UN</v>
      </c>
      <c r="E5306" s="88">
        <v>1</v>
      </c>
      <c r="F5306" s="89">
        <f>IF(B5306="","",IF($A$8="NÃO DESONERADO",(IF(A5306="SINAPI",VLOOKUP(B5306,#REF!,4,0),IF(A5306="SUDECAP",VLOOKUP(B5306,#REF!,5,0),IF(A5306="SETOP",VLOOKUP(B5306,#REF!,4,0),IF(A5306="COTAÇÃO",VLOOKUP(B5306,'Mapa Cotações'!$A:$N,13,0)))))),(IF(A5306="SINAPI",VLOOKUP(B5306,#REF!,4,0),IF(A5306="SUDECAP",VLOOKUP(B5306,#REF!,5,0),IF(A5306="SETOP",VLOOKUP(B5306,#REF!,4,0),IF(A5306="COTAÇÃO",VLOOKUP(B5306,'Mapa Cotações'!$A:$N,13,0))))))))</f>
        <v>13500</v>
      </c>
      <c r="G5306" s="89">
        <f>IF(D5306="","",E5306*F5306)</f>
        <v>13500</v>
      </c>
    </row>
    <row r="5307" spans="1:11">
      <c r="A5307" s="87"/>
      <c r="B5307" s="87"/>
      <c r="C5307" s="278" t="str">
        <f>IF(B5307="","",IF($A$8="NÃO DESONERADO",(IF(A5307="SINAPI",VLOOKUP(B5307,#REF!,2,0),IF(A5307="SUDECAP",VLOOKUP(B5307,#REF!,3,0),IF(A5307="SETOP",VLOOKUP(B5307,#REF!,2,0),IF(A5307="COTAÇÃO",VLOOKUP(B5307,'Mapa Cotações'!$A:$N,2,0)))))),(IF(A5307="SINAPI",VLOOKUP(B5307,#REF!,2,0),IF(A5307="SUDECAP",VLOOKUP(B5307,#REF!,3,0),IF(A5307="SETOP",VLOOKUP(B5307,#REF!,2,0),IF(A5307="COTAÇÃO",VLOOKUP(B5307,'Mapa Cotações'!$A:$N,2,0))))))))</f>
        <v/>
      </c>
      <c r="D5307" s="89" t="str">
        <f>IF(B5307="","",IF($A$8="NÃO DESONERADO",(IF(A5307="SINAPI",VLOOKUP(B5307,#REF!,3,0),IF(A5307="SUDECAP",VLOOKUP(B5307,#REF!,4,0),IF(A5307="SETOP",VLOOKUP(B5307,#REF!,3,0),IF(A5307="COTAÇÃO",VLOOKUP(B5307,'Mapa Cotações'!$A:$N,3,0)))))),(IF(A5307="SINAPI",VLOOKUP(B5307,#REF!,3,0),IF(A5307="SUDECAP",VLOOKUP(B5307,#REF!,4,0),IF(A5307="SETOP",VLOOKUP(B5307,#REF!,3,0),IF(A5307="COTAÇÃO",VLOOKUP(B5307,'Mapa Cotações'!$A:$N,3,0))))))))</f>
        <v/>
      </c>
      <c r="E5307" s="88"/>
      <c r="F5307" s="89" t="str">
        <f>IF(B5307="","",IF($A$8="NÃO DESONERADO",(IF(A5307="SINAPI",VLOOKUP(B5307,#REF!,4,0),IF(A5307="SUDECAP",VLOOKUP(B5307,#REF!,5,0),IF(A5307="SETOP",VLOOKUP(B5307,#REF!,4,0),IF(A5307="COTAÇÃO",VLOOKUP(B5307,'Mapa Cotações'!$A:$N,13,0)))))),(IF(A5307="SINAPI",VLOOKUP(B5307,#REF!,4,0),IF(A5307="SUDECAP",VLOOKUP(B5307,#REF!,5,0),IF(A5307="SETOP",VLOOKUP(B5307,#REF!,4,0),IF(A5307="COTAÇÃO",VLOOKUP(B5307,'Mapa Cotações'!$A:$N,13,0))))))))</f>
        <v/>
      </c>
      <c r="G5307" s="89" t="str">
        <f>IF(D5307="","",E5307*F5307)</f>
        <v/>
      </c>
    </row>
    <row r="5308" spans="1:11">
      <c r="A5308" s="832" t="s">
        <v>1908</v>
      </c>
      <c r="B5308" s="833"/>
      <c r="C5308" s="833"/>
      <c r="D5308" s="833"/>
      <c r="E5308" s="833"/>
      <c r="F5308" s="834"/>
      <c r="G5308" s="90">
        <f>IF(F5306="","",(SUM(G5306:G5307)))</f>
        <v>13500</v>
      </c>
    </row>
    <row r="5309" spans="1:11">
      <c r="A5309" s="91"/>
      <c r="B5309" s="92"/>
      <c r="C5309" s="161"/>
      <c r="D5309" s="93"/>
      <c r="E5309" s="94"/>
      <c r="F5309" s="95"/>
      <c r="G5309" s="96"/>
    </row>
    <row r="5310" spans="1:11">
      <c r="A5310" s="835" t="s">
        <v>1909</v>
      </c>
      <c r="B5310" s="836"/>
      <c r="C5310" s="836"/>
      <c r="D5310" s="836"/>
      <c r="E5310" s="836"/>
      <c r="F5310" s="836"/>
      <c r="G5310" s="837"/>
    </row>
    <row r="5311" spans="1:11">
      <c r="A5311" s="84" t="s">
        <v>1903</v>
      </c>
      <c r="B5311" s="84" t="s">
        <v>131</v>
      </c>
      <c r="C5311" s="160" t="s">
        <v>1904</v>
      </c>
      <c r="D5311" s="84" t="s">
        <v>167</v>
      </c>
      <c r="E5311" s="85" t="s">
        <v>1905</v>
      </c>
      <c r="F5311" s="86" t="s">
        <v>1906</v>
      </c>
      <c r="G5311" s="86" t="s">
        <v>1907</v>
      </c>
    </row>
    <row r="5312" spans="1:11">
      <c r="A5312" s="87" t="s">
        <v>2</v>
      </c>
      <c r="B5312" s="87">
        <v>88264</v>
      </c>
      <c r="C5312" s="278" t="s">
        <v>1910</v>
      </c>
      <c r="D5312" s="89" t="s">
        <v>137</v>
      </c>
      <c r="E5312" s="88">
        <v>0.53349999999999997</v>
      </c>
      <c r="F5312" s="89">
        <v>10.95</v>
      </c>
      <c r="G5312" s="89">
        <f>IF(D5312="","",E5312*F5312)</f>
        <v>5.8418249999999992</v>
      </c>
    </row>
    <row r="5313" spans="1:11" ht="24">
      <c r="A5313" s="87" t="s">
        <v>2</v>
      </c>
      <c r="B5313" s="87">
        <v>88247</v>
      </c>
      <c r="C5313" s="473" t="s">
        <v>1911</v>
      </c>
      <c r="D5313" s="89" t="s">
        <v>137</v>
      </c>
      <c r="E5313" s="88">
        <v>0.53349999999999997</v>
      </c>
      <c r="F5313" s="89">
        <v>9.02</v>
      </c>
      <c r="G5313" s="89">
        <f>IF(D5313="","",E5313*F5313)</f>
        <v>4.8121699999999992</v>
      </c>
    </row>
    <row r="5314" spans="1:11">
      <c r="A5314" s="832" t="s">
        <v>1908</v>
      </c>
      <c r="B5314" s="833"/>
      <c r="C5314" s="833"/>
      <c r="D5314" s="833"/>
      <c r="E5314" s="833"/>
      <c r="F5314" s="834"/>
      <c r="G5314" s="90">
        <f>IF(F5312="","",(SUM(G5312:G5313)))</f>
        <v>10.653994999999998</v>
      </c>
    </row>
    <row r="5315" spans="1:11">
      <c r="A5315" s="91"/>
      <c r="B5315" s="92"/>
      <c r="C5315" s="162"/>
      <c r="D5315" s="92"/>
      <c r="E5315" s="97"/>
      <c r="F5315" s="98"/>
      <c r="G5315" s="96"/>
    </row>
    <row r="5316" spans="1:11">
      <c r="A5316" s="835" t="s">
        <v>1912</v>
      </c>
      <c r="B5316" s="836"/>
      <c r="C5316" s="836"/>
      <c r="D5316" s="836"/>
      <c r="E5316" s="836"/>
      <c r="F5316" s="836"/>
      <c r="G5316" s="837"/>
    </row>
    <row r="5317" spans="1:11">
      <c r="A5317" s="84" t="s">
        <v>1903</v>
      </c>
      <c r="B5317" s="84" t="s">
        <v>131</v>
      </c>
      <c r="C5317" s="160" t="s">
        <v>1904</v>
      </c>
      <c r="D5317" s="84" t="s">
        <v>167</v>
      </c>
      <c r="E5317" s="85" t="s">
        <v>1905</v>
      </c>
      <c r="F5317" s="86" t="s">
        <v>1906</v>
      </c>
      <c r="G5317" s="86" t="s">
        <v>1907</v>
      </c>
    </row>
    <row r="5318" spans="1:11" ht="48">
      <c r="A5318" s="87" t="s">
        <v>2</v>
      </c>
      <c r="B5318" s="87">
        <v>87367</v>
      </c>
      <c r="C5318" s="278" t="s">
        <v>1934</v>
      </c>
      <c r="D5318" s="89" t="s">
        <v>2198</v>
      </c>
      <c r="E5318" s="88">
        <v>1.34E-2</v>
      </c>
      <c r="F5318" s="89">
        <v>684.07</v>
      </c>
      <c r="G5318" s="89">
        <f>IF(D5318="","",E5318*F5318)</f>
        <v>9.166538000000001</v>
      </c>
    </row>
    <row r="5319" spans="1:11">
      <c r="A5319" s="87"/>
      <c r="B5319" s="87"/>
      <c r="C5319" s="278" t="str">
        <f>IF(B5319="","",IF($A$8="NÃO DESONERADO",(IF(A5319="SINAPI",VLOOKUP(B5319,#REF!,2,0),IF(A5319="SUDECAP",VLOOKUP(B5319,#REF!,3,0),IF(A5319="SETOP",VLOOKUP(B5319,#REF!,2,0),IF(A5319="COTAÇÃO",VLOOKUP(B5319,'Mapa Cotações'!$A:$N,2,0)))))),(IF(A5319="SINAPI",VLOOKUP(B5319,#REF!,2,0),IF(A5319="SUDECAP",VLOOKUP(B5319,#REF!,3,0),IF(A5319="SETOP",VLOOKUP(B5319,#REF!,2,0),IF(A5319="COTAÇÃO",VLOOKUP(B5319,'Mapa Cotações'!$A:$N,2,0))))))))</f>
        <v/>
      </c>
      <c r="D5319" s="89" t="str">
        <f>IF(B5319="","",IF($A$8="NÃO DESONERADO",(IF(A5319="SINAPI",VLOOKUP(B5319,#REF!,3,0),IF(A5319="SUDECAP",VLOOKUP(B5319,#REF!,4,0),IF(A5319="SETOP",VLOOKUP(B5319,#REF!,3,0),IF(A5319="COTAÇÃO",VLOOKUP(B5319,'Mapa Cotações'!$A:$N,3,0)))))),(IF(A5319="SINAPI",VLOOKUP(B5319,#REF!,3,0),IF(A5319="SUDECAP",VLOOKUP(B5319,#REF!,4,0),IF(A5319="SETOP",VLOOKUP(B5319,#REF!,3,0),IF(A5319="COTAÇÃO",VLOOKUP(B5319,'Mapa Cotações'!$A:$N,3,0))))))))</f>
        <v/>
      </c>
      <c r="E5319" s="88"/>
      <c r="F5319" s="89" t="str">
        <f>IF(B5319="","",IF($A$8="NÃO DESONERADO",(IF(A5319="SINAPI",VLOOKUP(B5319,#REF!,4,0),IF(A5319="SUDECAP",VLOOKUP(B5319,#REF!,5,0),IF(A5319="SETOP",VLOOKUP(B5319,#REF!,4,0),IF(A5319="COTAÇÃO",VLOOKUP(B5319,'Mapa Cotações'!$A:$N,13,0)))))),(IF(A5319="SINAPI",VLOOKUP(B5319,#REF!,4,0),IF(A5319="SUDECAP",VLOOKUP(B5319,#REF!,5,0),IF(A5319="SETOP",VLOOKUP(B5319,#REF!,4,0),IF(A5319="COTAÇÃO",VLOOKUP(B5319,'Mapa Cotações'!$A:$N,13,0))))))))</f>
        <v/>
      </c>
      <c r="G5319" s="89" t="str">
        <f>IF(D5319="","",E5319*F5319)</f>
        <v/>
      </c>
    </row>
    <row r="5320" spans="1:11">
      <c r="A5320" s="832" t="s">
        <v>1908</v>
      </c>
      <c r="B5320" s="833" t="s">
        <v>1908</v>
      </c>
      <c r="C5320" s="833"/>
      <c r="D5320" s="833"/>
      <c r="E5320" s="833"/>
      <c r="F5320" s="834"/>
      <c r="G5320" s="90">
        <f>IF(F5318="","",(SUM(G5318:G5319)))</f>
        <v>9.166538000000001</v>
      </c>
    </row>
    <row r="5321" spans="1:11" ht="13.5" thickBot="1">
      <c r="A5321" s="91"/>
      <c r="B5321" s="92"/>
      <c r="C5321" s="163"/>
      <c r="D5321" s="99"/>
      <c r="E5321" s="100"/>
      <c r="F5321" s="101"/>
      <c r="G5321" s="102"/>
    </row>
    <row r="5322" spans="1:11" ht="13.5" thickBot="1">
      <c r="A5322" s="838" t="s">
        <v>1259</v>
      </c>
      <c r="B5322" s="839"/>
      <c r="C5322" s="839"/>
      <c r="D5322" s="839"/>
      <c r="E5322" s="839"/>
      <c r="F5322" s="840"/>
      <c r="G5322" s="103">
        <f>SUM(G5308,G5314,G5320)</f>
        <v>13519.820533</v>
      </c>
    </row>
    <row r="5325" spans="1:11">
      <c r="A5325" s="237" t="s">
        <v>131</v>
      </c>
      <c r="B5325" s="190" t="s">
        <v>27</v>
      </c>
      <c r="C5325" s="841" t="s">
        <v>1281</v>
      </c>
      <c r="D5325" s="841"/>
      <c r="E5325" s="841"/>
      <c r="F5325" s="841"/>
      <c r="G5325" s="81" t="s">
        <v>127</v>
      </c>
      <c r="I5325" s="480" t="s">
        <v>1901</v>
      </c>
      <c r="J5325" s="80"/>
      <c r="K5325" s="80"/>
    </row>
    <row r="5326" spans="1:11" ht="50.1" customHeight="1">
      <c r="A5326" s="179" t="s">
        <v>1205</v>
      </c>
      <c r="B5326" s="82"/>
      <c r="C5326" s="830" t="s">
        <v>1206</v>
      </c>
      <c r="D5326" s="831"/>
      <c r="E5326" s="831"/>
      <c r="F5326" s="186">
        <f>G5345</f>
        <v>14019.820533</v>
      </c>
      <c r="G5326" s="83" t="s">
        <v>167</v>
      </c>
      <c r="I5326" s="481"/>
      <c r="J5326" s="272"/>
      <c r="K5326" s="272"/>
    </row>
    <row r="5327" spans="1:11">
      <c r="A5327" s="818" t="s">
        <v>1902</v>
      </c>
      <c r="B5327" s="819"/>
      <c r="C5327" s="819"/>
      <c r="D5327" s="819"/>
      <c r="E5327" s="819"/>
      <c r="F5327" s="819"/>
      <c r="G5327" s="820"/>
    </row>
    <row r="5328" spans="1:11">
      <c r="A5328" s="84" t="s">
        <v>1903</v>
      </c>
      <c r="B5328" s="84" t="s">
        <v>131</v>
      </c>
      <c r="C5328" s="160" t="s">
        <v>1904</v>
      </c>
      <c r="D5328" s="84" t="s">
        <v>167</v>
      </c>
      <c r="E5328" s="85" t="s">
        <v>1905</v>
      </c>
      <c r="F5328" s="86" t="s">
        <v>1906</v>
      </c>
      <c r="G5328" s="86" t="s">
        <v>1907</v>
      </c>
    </row>
    <row r="5329" spans="1:7">
      <c r="A5329" s="87" t="s">
        <v>1917</v>
      </c>
      <c r="B5329" s="87" t="s">
        <v>2258</v>
      </c>
      <c r="C5329" s="278" t="str">
        <f>IF(B5329="","",IF($A$8="NÃO DESONERADO",(IF(A5329="SINAPI",VLOOKUP(B5329,#REF!,2,0),IF(A5329="SUDECAP",VLOOKUP(B5329,#REF!,3,0),IF(A5329="SETOP",VLOOKUP(B5329,#REF!,2,0),IF(A5329="COTAÇÃO",VLOOKUP(B5329,'Mapa Cotações'!$A:$N,2,0)))))),(IF(A5329="SINAPI",VLOOKUP(B5329,#REF!,2,0),IF(A5329="SUDECAP",VLOOKUP(B5329,#REF!,3,0),IF(A5329="SETOP",VLOOKUP(B5329,#REF!,2,0),IF(A5329="COTAÇÃO",VLOOKUP(B5329,'Mapa Cotações'!$A:$N,2,0))))))))</f>
        <v>PAINEL DE AUTOMAÇÃO QCOM-1-3PB-2</v>
      </c>
      <c r="D5329" s="89" t="str">
        <f>IF(B5329="","",IF($A$8="NÃO DESONERADO",(IF(A5329="SINAPI",VLOOKUP(B5329,#REF!,3,0),IF(A5329="SUDECAP",VLOOKUP(B5329,#REF!,4,0),IF(A5329="SETOP",VLOOKUP(B5329,#REF!,3,0),IF(A5329="COTAÇÃO",VLOOKUP(B5329,'Mapa Cotações'!$A:$N,3,0)))))),(IF(A5329="SINAPI",VLOOKUP(B5329,#REF!,3,0),IF(A5329="SUDECAP",VLOOKUP(B5329,#REF!,4,0),IF(A5329="SETOP",VLOOKUP(B5329,#REF!,3,0),IF(A5329="COTAÇÃO",VLOOKUP(B5329,'Mapa Cotações'!$A:$N,3,0))))))))</f>
        <v>UN</v>
      </c>
      <c r="E5329" s="88">
        <v>1</v>
      </c>
      <c r="F5329" s="89">
        <f>IF(B5329="","",IF($A$8="NÃO DESONERADO",(IF(A5329="SINAPI",VLOOKUP(B5329,#REF!,4,0),IF(A5329="SUDECAP",VLOOKUP(B5329,#REF!,5,0),IF(A5329="SETOP",VLOOKUP(B5329,#REF!,4,0),IF(A5329="COTAÇÃO",VLOOKUP(B5329,'Mapa Cotações'!$A:$N,13,0)))))),(IF(A5329="SINAPI",VLOOKUP(B5329,#REF!,4,0),IF(A5329="SUDECAP",VLOOKUP(B5329,#REF!,5,0),IF(A5329="SETOP",VLOOKUP(B5329,#REF!,4,0),IF(A5329="COTAÇÃO",VLOOKUP(B5329,'Mapa Cotações'!$A:$N,13,0))))))))</f>
        <v>14000</v>
      </c>
      <c r="G5329" s="89">
        <f>IF(D5329="","",E5329*F5329)</f>
        <v>14000</v>
      </c>
    </row>
    <row r="5330" spans="1:7">
      <c r="A5330" s="87"/>
      <c r="B5330" s="87"/>
      <c r="C5330" s="278" t="str">
        <f>IF(B5330="","",IF($A$8="NÃO DESONERADO",(IF(A5330="SINAPI",VLOOKUP(B5330,#REF!,2,0),IF(A5330="SUDECAP",VLOOKUP(B5330,#REF!,3,0),IF(A5330="SETOP",VLOOKUP(B5330,#REF!,2,0),IF(A5330="COTAÇÃO",VLOOKUP(B5330,'Mapa Cotações'!$A:$N,2,0)))))),(IF(A5330="SINAPI",VLOOKUP(B5330,#REF!,2,0),IF(A5330="SUDECAP",VLOOKUP(B5330,#REF!,3,0),IF(A5330="SETOP",VLOOKUP(B5330,#REF!,2,0),IF(A5330="COTAÇÃO",VLOOKUP(B5330,'Mapa Cotações'!$A:$N,2,0))))))))</f>
        <v/>
      </c>
      <c r="D5330" s="89" t="str">
        <f>IF(B5330="","",IF($A$8="NÃO DESONERADO",(IF(A5330="SINAPI",VLOOKUP(B5330,#REF!,3,0),IF(A5330="SUDECAP",VLOOKUP(B5330,#REF!,4,0),IF(A5330="SETOP",VLOOKUP(B5330,#REF!,3,0),IF(A5330="COTAÇÃO",VLOOKUP(B5330,'Mapa Cotações'!$A:$N,3,0)))))),(IF(A5330="SINAPI",VLOOKUP(B5330,#REF!,3,0),IF(A5330="SUDECAP",VLOOKUP(B5330,#REF!,4,0),IF(A5330="SETOP",VLOOKUP(B5330,#REF!,3,0),IF(A5330="COTAÇÃO",VLOOKUP(B5330,'Mapa Cotações'!$A:$N,3,0))))))))</f>
        <v/>
      </c>
      <c r="E5330" s="88"/>
      <c r="F5330" s="89" t="str">
        <f>IF(B5330="","",IF($A$8="NÃO DESONERADO",(IF(A5330="SINAPI",VLOOKUP(B5330,#REF!,4,0),IF(A5330="SUDECAP",VLOOKUP(B5330,#REF!,5,0),IF(A5330="SETOP",VLOOKUP(B5330,#REF!,4,0),IF(A5330="COTAÇÃO",VLOOKUP(B5330,'Mapa Cotações'!$A:$N,13,0)))))),(IF(A5330="SINAPI",VLOOKUP(B5330,#REF!,4,0),IF(A5330="SUDECAP",VLOOKUP(B5330,#REF!,5,0),IF(A5330="SETOP",VLOOKUP(B5330,#REF!,4,0),IF(A5330="COTAÇÃO",VLOOKUP(B5330,'Mapa Cotações'!$A:$N,13,0))))))))</f>
        <v/>
      </c>
      <c r="G5330" s="89" t="str">
        <f>IF(D5330="","",E5330*F5330)</f>
        <v/>
      </c>
    </row>
    <row r="5331" spans="1:7">
      <c r="A5331" s="832" t="s">
        <v>1908</v>
      </c>
      <c r="B5331" s="833"/>
      <c r="C5331" s="833"/>
      <c r="D5331" s="833"/>
      <c r="E5331" s="833"/>
      <c r="F5331" s="834"/>
      <c r="G5331" s="90">
        <f>IF(F5329="","",(SUM(G5329:G5330)))</f>
        <v>14000</v>
      </c>
    </row>
    <row r="5332" spans="1:7">
      <c r="A5332" s="91"/>
      <c r="B5332" s="92"/>
      <c r="C5332" s="161"/>
      <c r="D5332" s="93"/>
      <c r="E5332" s="94"/>
      <c r="F5332" s="95"/>
      <c r="G5332" s="96"/>
    </row>
    <row r="5333" spans="1:7">
      <c r="A5333" s="835" t="s">
        <v>1909</v>
      </c>
      <c r="B5333" s="836"/>
      <c r="C5333" s="836"/>
      <c r="D5333" s="836"/>
      <c r="E5333" s="836"/>
      <c r="F5333" s="836"/>
      <c r="G5333" s="837"/>
    </row>
    <row r="5334" spans="1:7">
      <c r="A5334" s="84" t="s">
        <v>1903</v>
      </c>
      <c r="B5334" s="84" t="s">
        <v>131</v>
      </c>
      <c r="C5334" s="160" t="s">
        <v>1904</v>
      </c>
      <c r="D5334" s="84" t="s">
        <v>167</v>
      </c>
      <c r="E5334" s="85" t="s">
        <v>1905</v>
      </c>
      <c r="F5334" s="86" t="s">
        <v>1906</v>
      </c>
      <c r="G5334" s="86" t="s">
        <v>1907</v>
      </c>
    </row>
    <row r="5335" spans="1:7">
      <c r="A5335" s="87" t="s">
        <v>2</v>
      </c>
      <c r="B5335" s="87">
        <v>88264</v>
      </c>
      <c r="C5335" s="278" t="s">
        <v>1910</v>
      </c>
      <c r="D5335" s="89" t="s">
        <v>137</v>
      </c>
      <c r="E5335" s="88">
        <v>0.53349999999999997</v>
      </c>
      <c r="F5335" s="89">
        <v>10.95</v>
      </c>
      <c r="G5335" s="89">
        <f>IF(D5335="","",E5335*F5335)</f>
        <v>5.8418249999999992</v>
      </c>
    </row>
    <row r="5336" spans="1:7" ht="24">
      <c r="A5336" s="87" t="s">
        <v>2</v>
      </c>
      <c r="B5336" s="87">
        <v>88247</v>
      </c>
      <c r="C5336" s="473" t="s">
        <v>1911</v>
      </c>
      <c r="D5336" s="89" t="s">
        <v>137</v>
      </c>
      <c r="E5336" s="88">
        <v>0.53349999999999997</v>
      </c>
      <c r="F5336" s="89">
        <v>9.02</v>
      </c>
      <c r="G5336" s="89">
        <f>IF(D5336="","",E5336*F5336)</f>
        <v>4.8121699999999992</v>
      </c>
    </row>
    <row r="5337" spans="1:7">
      <c r="A5337" s="832" t="s">
        <v>1908</v>
      </c>
      <c r="B5337" s="833"/>
      <c r="C5337" s="833"/>
      <c r="D5337" s="833"/>
      <c r="E5337" s="833"/>
      <c r="F5337" s="834"/>
      <c r="G5337" s="90">
        <f>IF(F5335="","",(SUM(G5335:G5336)))</f>
        <v>10.653994999999998</v>
      </c>
    </row>
    <row r="5338" spans="1:7">
      <c r="A5338" s="91"/>
      <c r="B5338" s="92"/>
      <c r="C5338" s="162"/>
      <c r="D5338" s="92"/>
      <c r="E5338" s="97"/>
      <c r="F5338" s="98"/>
      <c r="G5338" s="96"/>
    </row>
    <row r="5339" spans="1:7">
      <c r="A5339" s="835" t="s">
        <v>1912</v>
      </c>
      <c r="B5339" s="836"/>
      <c r="C5339" s="836"/>
      <c r="D5339" s="836"/>
      <c r="E5339" s="836"/>
      <c r="F5339" s="836"/>
      <c r="G5339" s="837"/>
    </row>
    <row r="5340" spans="1:7">
      <c r="A5340" s="84" t="s">
        <v>1903</v>
      </c>
      <c r="B5340" s="84" t="s">
        <v>131</v>
      </c>
      <c r="C5340" s="160" t="s">
        <v>1904</v>
      </c>
      <c r="D5340" s="84" t="s">
        <v>167</v>
      </c>
      <c r="E5340" s="85" t="s">
        <v>1905</v>
      </c>
      <c r="F5340" s="86" t="s">
        <v>1906</v>
      </c>
      <c r="G5340" s="86" t="s">
        <v>1907</v>
      </c>
    </row>
    <row r="5341" spans="1:7" ht="48">
      <c r="A5341" s="87" t="s">
        <v>2</v>
      </c>
      <c r="B5341" s="87">
        <v>87367</v>
      </c>
      <c r="C5341" s="278" t="s">
        <v>1934</v>
      </c>
      <c r="D5341" s="89" t="s">
        <v>2198</v>
      </c>
      <c r="E5341" s="88">
        <v>1.34E-2</v>
      </c>
      <c r="F5341" s="89">
        <v>684.07</v>
      </c>
      <c r="G5341" s="89">
        <f>IF(D5341="","",E5341*F5341)</f>
        <v>9.166538000000001</v>
      </c>
    </row>
    <row r="5342" spans="1:7">
      <c r="A5342" s="87"/>
      <c r="B5342" s="87"/>
      <c r="C5342" s="278" t="str">
        <f>IF(B5342="","",IF($A$8="NÃO DESONERADO",(IF(A5342="SINAPI",VLOOKUP(B5342,#REF!,2,0),IF(A5342="SUDECAP",VLOOKUP(B5342,#REF!,3,0),IF(A5342="SETOP",VLOOKUP(B5342,#REF!,2,0),IF(A5342="COTAÇÃO",VLOOKUP(B5342,'Mapa Cotações'!$A:$N,2,0)))))),(IF(A5342="SINAPI",VLOOKUP(B5342,#REF!,2,0),IF(A5342="SUDECAP",VLOOKUP(B5342,#REF!,3,0),IF(A5342="SETOP",VLOOKUP(B5342,#REF!,2,0),IF(A5342="COTAÇÃO",VLOOKUP(B5342,'Mapa Cotações'!$A:$N,2,0))))))))</f>
        <v/>
      </c>
      <c r="D5342" s="89" t="str">
        <f>IF(B5342="","",IF($A$8="NÃO DESONERADO",(IF(A5342="SINAPI",VLOOKUP(B5342,#REF!,3,0),IF(A5342="SUDECAP",VLOOKUP(B5342,#REF!,4,0),IF(A5342="SETOP",VLOOKUP(B5342,#REF!,3,0),IF(A5342="COTAÇÃO",VLOOKUP(B5342,'Mapa Cotações'!$A:$N,3,0)))))),(IF(A5342="SINAPI",VLOOKUP(B5342,#REF!,3,0),IF(A5342="SUDECAP",VLOOKUP(B5342,#REF!,4,0),IF(A5342="SETOP",VLOOKUP(B5342,#REF!,3,0),IF(A5342="COTAÇÃO",VLOOKUP(B5342,'Mapa Cotações'!$A:$N,3,0))))))))</f>
        <v/>
      </c>
      <c r="E5342" s="88"/>
      <c r="F5342" s="89" t="str">
        <f>IF(B5342="","",IF($A$8="NÃO DESONERADO",(IF(A5342="SINAPI",VLOOKUP(B5342,#REF!,4,0),IF(A5342="SUDECAP",VLOOKUP(B5342,#REF!,5,0),IF(A5342="SETOP",VLOOKUP(B5342,#REF!,4,0),IF(A5342="COTAÇÃO",VLOOKUP(B5342,'Mapa Cotações'!$A:$N,13,0)))))),(IF(A5342="SINAPI",VLOOKUP(B5342,#REF!,4,0),IF(A5342="SUDECAP",VLOOKUP(B5342,#REF!,5,0),IF(A5342="SETOP",VLOOKUP(B5342,#REF!,4,0),IF(A5342="COTAÇÃO",VLOOKUP(B5342,'Mapa Cotações'!$A:$N,13,0))))))))</f>
        <v/>
      </c>
      <c r="G5342" s="89" t="str">
        <f>IF(D5342="","",E5342*F5342)</f>
        <v/>
      </c>
    </row>
    <row r="5343" spans="1:7">
      <c r="A5343" s="832" t="s">
        <v>1908</v>
      </c>
      <c r="B5343" s="833" t="s">
        <v>1908</v>
      </c>
      <c r="C5343" s="833"/>
      <c r="D5343" s="833"/>
      <c r="E5343" s="833"/>
      <c r="F5343" s="834"/>
      <c r="G5343" s="90">
        <f>IF(F5341="","",(SUM(G5341:G5342)))</f>
        <v>9.166538000000001</v>
      </c>
    </row>
    <row r="5344" spans="1:7" ht="13.5" thickBot="1">
      <c r="A5344" s="91"/>
      <c r="B5344" s="92"/>
      <c r="C5344" s="163"/>
      <c r="D5344" s="99"/>
      <c r="E5344" s="100"/>
      <c r="F5344" s="101"/>
      <c r="G5344" s="102"/>
    </row>
    <row r="5345" spans="1:11" ht="13.5" thickBot="1">
      <c r="A5345" s="838" t="s">
        <v>1259</v>
      </c>
      <c r="B5345" s="839"/>
      <c r="C5345" s="839"/>
      <c r="D5345" s="839"/>
      <c r="E5345" s="839"/>
      <c r="F5345" s="840"/>
      <c r="G5345" s="103">
        <f>SUM(G5331,G5337,G5343)</f>
        <v>14019.820533</v>
      </c>
    </row>
    <row r="5348" spans="1:11">
      <c r="A5348" s="237" t="s">
        <v>131</v>
      </c>
      <c r="B5348" s="190" t="s">
        <v>27</v>
      </c>
      <c r="C5348" s="841" t="s">
        <v>1281</v>
      </c>
      <c r="D5348" s="841"/>
      <c r="E5348" s="841"/>
      <c r="F5348" s="841"/>
      <c r="G5348" s="81" t="s">
        <v>127</v>
      </c>
      <c r="I5348" s="480" t="s">
        <v>1901</v>
      </c>
      <c r="J5348" s="80"/>
      <c r="K5348" s="80"/>
    </row>
    <row r="5349" spans="1:11" ht="50.1" customHeight="1">
      <c r="A5349" s="179" t="s">
        <v>1208</v>
      </c>
      <c r="B5349" s="82"/>
      <c r="C5349" s="830" t="s">
        <v>1209</v>
      </c>
      <c r="D5349" s="831"/>
      <c r="E5349" s="831"/>
      <c r="F5349" s="186">
        <f>G5368</f>
        <v>14019.820533</v>
      </c>
      <c r="G5349" s="83" t="s">
        <v>167</v>
      </c>
      <c r="I5349" s="481"/>
      <c r="J5349" s="272"/>
      <c r="K5349" s="272"/>
    </row>
    <row r="5350" spans="1:11">
      <c r="A5350" s="818" t="s">
        <v>1902</v>
      </c>
      <c r="B5350" s="819"/>
      <c r="C5350" s="819"/>
      <c r="D5350" s="819"/>
      <c r="E5350" s="819"/>
      <c r="F5350" s="819"/>
      <c r="G5350" s="820"/>
    </row>
    <row r="5351" spans="1:11">
      <c r="A5351" s="84" t="s">
        <v>1903</v>
      </c>
      <c r="B5351" s="84" t="s">
        <v>131</v>
      </c>
      <c r="C5351" s="160" t="s">
        <v>1904</v>
      </c>
      <c r="D5351" s="84" t="s">
        <v>167</v>
      </c>
      <c r="E5351" s="85" t="s">
        <v>1905</v>
      </c>
      <c r="F5351" s="86" t="s">
        <v>1906</v>
      </c>
      <c r="G5351" s="86" t="s">
        <v>1907</v>
      </c>
    </row>
    <row r="5352" spans="1:11">
      <c r="A5352" s="87" t="s">
        <v>1917</v>
      </c>
      <c r="B5352" s="87" t="s">
        <v>2259</v>
      </c>
      <c r="C5352" s="278" t="str">
        <f>IF(B5352="","",IF($A$8="NÃO DESONERADO",(IF(A5352="SINAPI",VLOOKUP(B5352,#REF!,2,0),IF(A5352="SUDECAP",VLOOKUP(B5352,#REF!,3,0),IF(A5352="SETOP",VLOOKUP(B5352,#REF!,2,0),IF(A5352="COTAÇÃO",VLOOKUP(B5352,'Mapa Cotações'!$A:$N,2,0)))))),(IF(A5352="SINAPI",VLOOKUP(B5352,#REF!,2,0),IF(A5352="SUDECAP",VLOOKUP(B5352,#REF!,3,0),IF(A5352="SETOP",VLOOKUP(B5352,#REF!,2,0),IF(A5352="COTAÇÃO",VLOOKUP(B5352,'Mapa Cotações'!$A:$N,2,0))))))))</f>
        <v>PAINEL DE AUTOMAÇÃO QCOM-1-3PB-3</v>
      </c>
      <c r="D5352" s="89" t="str">
        <f>IF(B5352="","",IF($A$8="NÃO DESONERADO",(IF(A5352="SINAPI",VLOOKUP(B5352,#REF!,3,0),IF(A5352="SUDECAP",VLOOKUP(B5352,#REF!,4,0),IF(A5352="SETOP",VLOOKUP(B5352,#REF!,3,0),IF(A5352="COTAÇÃO",VLOOKUP(B5352,'Mapa Cotações'!$A:$N,3,0)))))),(IF(A5352="SINAPI",VLOOKUP(B5352,#REF!,3,0),IF(A5352="SUDECAP",VLOOKUP(B5352,#REF!,4,0),IF(A5352="SETOP",VLOOKUP(B5352,#REF!,3,0),IF(A5352="COTAÇÃO",VLOOKUP(B5352,'Mapa Cotações'!$A:$N,3,0))))))))</f>
        <v>UN</v>
      </c>
      <c r="E5352" s="88">
        <v>1</v>
      </c>
      <c r="F5352" s="89">
        <f>IF(B5352="","",IF($A$8="NÃO DESONERADO",(IF(A5352="SINAPI",VLOOKUP(B5352,#REF!,4,0),IF(A5352="SUDECAP",VLOOKUP(B5352,#REF!,5,0),IF(A5352="SETOP",VLOOKUP(B5352,#REF!,4,0),IF(A5352="COTAÇÃO",VLOOKUP(B5352,'Mapa Cotações'!$A:$N,13,0)))))),(IF(A5352="SINAPI",VLOOKUP(B5352,#REF!,4,0),IF(A5352="SUDECAP",VLOOKUP(B5352,#REF!,5,0),IF(A5352="SETOP",VLOOKUP(B5352,#REF!,4,0),IF(A5352="COTAÇÃO",VLOOKUP(B5352,'Mapa Cotações'!$A:$N,13,0))))))))</f>
        <v>14000</v>
      </c>
      <c r="G5352" s="89">
        <f>IF(D5352="","",E5352*F5352)</f>
        <v>14000</v>
      </c>
    </row>
    <row r="5353" spans="1:11">
      <c r="A5353" s="87"/>
      <c r="B5353" s="87"/>
      <c r="C5353" s="278" t="str">
        <f>IF(B5353="","",IF($A$8="NÃO DESONERADO",(IF(A5353="SINAPI",VLOOKUP(B5353,#REF!,2,0),IF(A5353="SUDECAP",VLOOKUP(B5353,#REF!,3,0),IF(A5353="SETOP",VLOOKUP(B5353,#REF!,2,0),IF(A5353="COTAÇÃO",VLOOKUP(B5353,'Mapa Cotações'!$A:$N,2,0)))))),(IF(A5353="SINAPI",VLOOKUP(B5353,#REF!,2,0),IF(A5353="SUDECAP",VLOOKUP(B5353,#REF!,3,0),IF(A5353="SETOP",VLOOKUP(B5353,#REF!,2,0),IF(A5353="COTAÇÃO",VLOOKUP(B5353,'Mapa Cotações'!$A:$N,2,0))))))))</f>
        <v/>
      </c>
      <c r="D5353" s="89" t="str">
        <f>IF(B5353="","",IF($A$8="NÃO DESONERADO",(IF(A5353="SINAPI",VLOOKUP(B5353,#REF!,3,0),IF(A5353="SUDECAP",VLOOKUP(B5353,#REF!,4,0),IF(A5353="SETOP",VLOOKUP(B5353,#REF!,3,0),IF(A5353="COTAÇÃO",VLOOKUP(B5353,'Mapa Cotações'!$A:$N,3,0)))))),(IF(A5353="SINAPI",VLOOKUP(B5353,#REF!,3,0),IF(A5353="SUDECAP",VLOOKUP(B5353,#REF!,4,0),IF(A5353="SETOP",VLOOKUP(B5353,#REF!,3,0),IF(A5353="COTAÇÃO",VLOOKUP(B5353,'Mapa Cotações'!$A:$N,3,0))))))))</f>
        <v/>
      </c>
      <c r="E5353" s="88"/>
      <c r="F5353" s="89" t="str">
        <f>IF(B5353="","",IF($A$8="NÃO DESONERADO",(IF(A5353="SINAPI",VLOOKUP(B5353,#REF!,4,0),IF(A5353="SUDECAP",VLOOKUP(B5353,#REF!,5,0),IF(A5353="SETOP",VLOOKUP(B5353,#REF!,4,0),IF(A5353="COTAÇÃO",VLOOKUP(B5353,'Mapa Cotações'!$A:$N,13,0)))))),(IF(A5353="SINAPI",VLOOKUP(B5353,#REF!,4,0),IF(A5353="SUDECAP",VLOOKUP(B5353,#REF!,5,0),IF(A5353="SETOP",VLOOKUP(B5353,#REF!,4,0),IF(A5353="COTAÇÃO",VLOOKUP(B5353,'Mapa Cotações'!$A:$N,13,0))))))))</f>
        <v/>
      </c>
      <c r="G5353" s="89" t="str">
        <f>IF(D5353="","",E5353*F5353)</f>
        <v/>
      </c>
    </row>
    <row r="5354" spans="1:11">
      <c r="A5354" s="832" t="s">
        <v>1908</v>
      </c>
      <c r="B5354" s="833"/>
      <c r="C5354" s="833"/>
      <c r="D5354" s="833"/>
      <c r="E5354" s="833"/>
      <c r="F5354" s="834"/>
      <c r="G5354" s="90">
        <f>IF(F5352="","",(SUM(G5352:G5353)))</f>
        <v>14000</v>
      </c>
    </row>
    <row r="5355" spans="1:11">
      <c r="A5355" s="91"/>
      <c r="B5355" s="92"/>
      <c r="C5355" s="161"/>
      <c r="D5355" s="93"/>
      <c r="E5355" s="94"/>
      <c r="F5355" s="95"/>
      <c r="G5355" s="96"/>
    </row>
    <row r="5356" spans="1:11">
      <c r="A5356" s="835" t="s">
        <v>1909</v>
      </c>
      <c r="B5356" s="836"/>
      <c r="C5356" s="836"/>
      <c r="D5356" s="836"/>
      <c r="E5356" s="836"/>
      <c r="F5356" s="836"/>
      <c r="G5356" s="837"/>
    </row>
    <row r="5357" spans="1:11">
      <c r="A5357" s="84" t="s">
        <v>1903</v>
      </c>
      <c r="B5357" s="84" t="s">
        <v>131</v>
      </c>
      <c r="C5357" s="160" t="s">
        <v>1904</v>
      </c>
      <c r="D5357" s="84" t="s">
        <v>167</v>
      </c>
      <c r="E5357" s="85" t="s">
        <v>1905</v>
      </c>
      <c r="F5357" s="86" t="s">
        <v>1906</v>
      </c>
      <c r="G5357" s="86" t="s">
        <v>1907</v>
      </c>
    </row>
    <row r="5358" spans="1:11">
      <c r="A5358" s="87" t="s">
        <v>2</v>
      </c>
      <c r="B5358" s="87">
        <v>88264</v>
      </c>
      <c r="C5358" s="278" t="s">
        <v>1910</v>
      </c>
      <c r="D5358" s="89" t="s">
        <v>137</v>
      </c>
      <c r="E5358" s="88">
        <v>0.53349999999999997</v>
      </c>
      <c r="F5358" s="89">
        <v>10.95</v>
      </c>
      <c r="G5358" s="89">
        <f>IF(D5358="","",E5358*F5358)</f>
        <v>5.8418249999999992</v>
      </c>
    </row>
    <row r="5359" spans="1:11" ht="24">
      <c r="A5359" s="87" t="s">
        <v>2</v>
      </c>
      <c r="B5359" s="87">
        <v>88247</v>
      </c>
      <c r="C5359" s="473" t="s">
        <v>1911</v>
      </c>
      <c r="D5359" s="89" t="s">
        <v>137</v>
      </c>
      <c r="E5359" s="88">
        <v>0.53349999999999997</v>
      </c>
      <c r="F5359" s="89">
        <v>9.02</v>
      </c>
      <c r="G5359" s="89">
        <f>IF(D5359="","",E5359*F5359)</f>
        <v>4.8121699999999992</v>
      </c>
    </row>
    <row r="5360" spans="1:11">
      <c r="A5360" s="832" t="s">
        <v>1908</v>
      </c>
      <c r="B5360" s="833"/>
      <c r="C5360" s="833"/>
      <c r="D5360" s="833"/>
      <c r="E5360" s="833"/>
      <c r="F5360" s="834"/>
      <c r="G5360" s="90">
        <f>IF(F5358="","",(SUM(G5358:G5359)))</f>
        <v>10.653994999999998</v>
      </c>
    </row>
    <row r="5361" spans="1:11">
      <c r="A5361" s="91"/>
      <c r="B5361" s="92"/>
      <c r="C5361" s="162"/>
      <c r="D5361" s="92"/>
      <c r="E5361" s="97"/>
      <c r="F5361" s="98"/>
      <c r="G5361" s="96"/>
    </row>
    <row r="5362" spans="1:11">
      <c r="A5362" s="835" t="s">
        <v>1912</v>
      </c>
      <c r="B5362" s="836"/>
      <c r="C5362" s="836"/>
      <c r="D5362" s="836"/>
      <c r="E5362" s="836"/>
      <c r="F5362" s="836"/>
      <c r="G5362" s="837"/>
    </row>
    <row r="5363" spans="1:11">
      <c r="A5363" s="84" t="s">
        <v>1903</v>
      </c>
      <c r="B5363" s="84" t="s">
        <v>131</v>
      </c>
      <c r="C5363" s="160" t="s">
        <v>1904</v>
      </c>
      <c r="D5363" s="84" t="s">
        <v>167</v>
      </c>
      <c r="E5363" s="85" t="s">
        <v>1905</v>
      </c>
      <c r="F5363" s="86" t="s">
        <v>1906</v>
      </c>
      <c r="G5363" s="86" t="s">
        <v>1907</v>
      </c>
    </row>
    <row r="5364" spans="1:11" ht="48">
      <c r="A5364" s="87" t="s">
        <v>2</v>
      </c>
      <c r="B5364" s="87">
        <v>87367</v>
      </c>
      <c r="C5364" s="278" t="s">
        <v>1934</v>
      </c>
      <c r="D5364" s="89" t="s">
        <v>2198</v>
      </c>
      <c r="E5364" s="88">
        <v>1.34E-2</v>
      </c>
      <c r="F5364" s="89">
        <v>684.07</v>
      </c>
      <c r="G5364" s="89">
        <f>IF(D5364="","",E5364*F5364)</f>
        <v>9.166538000000001</v>
      </c>
    </row>
    <row r="5365" spans="1:11">
      <c r="A5365" s="87"/>
      <c r="B5365" s="87"/>
      <c r="C5365" s="278" t="str">
        <f>IF(B5365="","",IF($A$8="NÃO DESONERADO",(IF(A5365="SINAPI",VLOOKUP(B5365,#REF!,2,0),IF(A5365="SUDECAP",VLOOKUP(B5365,#REF!,3,0),IF(A5365="SETOP",VLOOKUP(B5365,#REF!,2,0),IF(A5365="COTAÇÃO",VLOOKUP(B5365,'Mapa Cotações'!$A:$N,2,0)))))),(IF(A5365="SINAPI",VLOOKUP(B5365,#REF!,2,0),IF(A5365="SUDECAP",VLOOKUP(B5365,#REF!,3,0),IF(A5365="SETOP",VLOOKUP(B5365,#REF!,2,0),IF(A5365="COTAÇÃO",VLOOKUP(B5365,'Mapa Cotações'!$A:$N,2,0))))))))</f>
        <v/>
      </c>
      <c r="D5365" s="89" t="str">
        <f>IF(B5365="","",IF($A$8="NÃO DESONERADO",(IF(A5365="SINAPI",VLOOKUP(B5365,#REF!,3,0),IF(A5365="SUDECAP",VLOOKUP(B5365,#REF!,4,0),IF(A5365="SETOP",VLOOKUP(B5365,#REF!,3,0),IF(A5365="COTAÇÃO",VLOOKUP(B5365,'Mapa Cotações'!$A:$N,3,0)))))),(IF(A5365="SINAPI",VLOOKUP(B5365,#REF!,3,0),IF(A5365="SUDECAP",VLOOKUP(B5365,#REF!,4,0),IF(A5365="SETOP",VLOOKUP(B5365,#REF!,3,0),IF(A5365="COTAÇÃO",VLOOKUP(B5365,'Mapa Cotações'!$A:$N,3,0))))))))</f>
        <v/>
      </c>
      <c r="E5365" s="88"/>
      <c r="F5365" s="89" t="str">
        <f>IF(B5365="","",IF($A$8="NÃO DESONERADO",(IF(A5365="SINAPI",VLOOKUP(B5365,#REF!,4,0),IF(A5365="SUDECAP",VLOOKUP(B5365,#REF!,5,0),IF(A5365="SETOP",VLOOKUP(B5365,#REF!,4,0),IF(A5365="COTAÇÃO",VLOOKUP(B5365,'Mapa Cotações'!$A:$N,13,0)))))),(IF(A5365="SINAPI",VLOOKUP(B5365,#REF!,4,0),IF(A5365="SUDECAP",VLOOKUP(B5365,#REF!,5,0),IF(A5365="SETOP",VLOOKUP(B5365,#REF!,4,0),IF(A5365="COTAÇÃO",VLOOKUP(B5365,'Mapa Cotações'!$A:$N,13,0))))))))</f>
        <v/>
      </c>
      <c r="G5365" s="89" t="str">
        <f>IF(D5365="","",E5365*F5365)</f>
        <v/>
      </c>
    </row>
    <row r="5366" spans="1:11">
      <c r="A5366" s="832" t="s">
        <v>1908</v>
      </c>
      <c r="B5366" s="833" t="s">
        <v>1908</v>
      </c>
      <c r="C5366" s="833"/>
      <c r="D5366" s="833"/>
      <c r="E5366" s="833"/>
      <c r="F5366" s="834"/>
      <c r="G5366" s="90">
        <f>IF(F5364="","",(SUM(G5364:G5365)))</f>
        <v>9.166538000000001</v>
      </c>
    </row>
    <row r="5367" spans="1:11" ht="13.5" thickBot="1">
      <c r="A5367" s="91"/>
      <c r="B5367" s="92"/>
      <c r="C5367" s="163"/>
      <c r="D5367" s="99"/>
      <c r="E5367" s="100"/>
      <c r="F5367" s="101"/>
      <c r="G5367" s="102"/>
    </row>
    <row r="5368" spans="1:11" ht="13.5" thickBot="1">
      <c r="A5368" s="838" t="s">
        <v>1259</v>
      </c>
      <c r="B5368" s="839"/>
      <c r="C5368" s="839"/>
      <c r="D5368" s="839"/>
      <c r="E5368" s="839"/>
      <c r="F5368" s="840"/>
      <c r="G5368" s="103">
        <f>SUM(G5354,G5360,G5366)</f>
        <v>14019.820533</v>
      </c>
    </row>
    <row r="5371" spans="1:11">
      <c r="A5371" s="237" t="s">
        <v>131</v>
      </c>
      <c r="B5371" s="190" t="s">
        <v>27</v>
      </c>
      <c r="C5371" s="841" t="s">
        <v>1281</v>
      </c>
      <c r="D5371" s="841"/>
      <c r="E5371" s="841"/>
      <c r="F5371" s="841"/>
      <c r="G5371" s="81" t="s">
        <v>127</v>
      </c>
      <c r="I5371" s="480" t="s">
        <v>1901</v>
      </c>
      <c r="J5371" s="80"/>
      <c r="K5371" s="80"/>
    </row>
    <row r="5372" spans="1:11" ht="50.1" customHeight="1">
      <c r="A5372" s="179" t="s">
        <v>1211</v>
      </c>
      <c r="B5372" s="82"/>
      <c r="C5372" s="830" t="s">
        <v>1212</v>
      </c>
      <c r="D5372" s="831"/>
      <c r="E5372" s="831"/>
      <c r="F5372" s="186">
        <f>G5391</f>
        <v>18919.820533000002</v>
      </c>
      <c r="G5372" s="83" t="s">
        <v>167</v>
      </c>
      <c r="I5372" s="481"/>
      <c r="J5372" s="272"/>
      <c r="K5372" s="272"/>
    </row>
    <row r="5373" spans="1:11">
      <c r="A5373" s="818" t="s">
        <v>1902</v>
      </c>
      <c r="B5373" s="819"/>
      <c r="C5373" s="819"/>
      <c r="D5373" s="819"/>
      <c r="E5373" s="819"/>
      <c r="F5373" s="819"/>
      <c r="G5373" s="820"/>
    </row>
    <row r="5374" spans="1:11">
      <c r="A5374" s="84" t="s">
        <v>1903</v>
      </c>
      <c r="B5374" s="84" t="s">
        <v>131</v>
      </c>
      <c r="C5374" s="160" t="s">
        <v>1904</v>
      </c>
      <c r="D5374" s="84" t="s">
        <v>167</v>
      </c>
      <c r="E5374" s="85" t="s">
        <v>1905</v>
      </c>
      <c r="F5374" s="86" t="s">
        <v>1906</v>
      </c>
      <c r="G5374" s="86" t="s">
        <v>1907</v>
      </c>
    </row>
    <row r="5375" spans="1:11">
      <c r="A5375" s="87" t="s">
        <v>1917</v>
      </c>
      <c r="B5375" s="87" t="s">
        <v>2260</v>
      </c>
      <c r="C5375" s="278" t="str">
        <f>IF(B5375="","",IF($A$8="NÃO DESONERADO",(IF(A5375="SINAPI",VLOOKUP(B5375,#REF!,2,0),IF(A5375="SUDECAP",VLOOKUP(B5375,#REF!,3,0),IF(A5375="SETOP",VLOOKUP(B5375,#REF!,2,0),IF(A5375="COTAÇÃO",VLOOKUP(B5375,'Mapa Cotações'!$A:$N,2,0)))))),(IF(A5375="SINAPI",VLOOKUP(B5375,#REF!,2,0),IF(A5375="SUDECAP",VLOOKUP(B5375,#REF!,3,0),IF(A5375="SETOP",VLOOKUP(B5375,#REF!,2,0),IF(A5375="COTAÇÃO",VLOOKUP(B5375,'Mapa Cotações'!$A:$N,2,0))))))))</f>
        <v>PAINEL ELÉTRICO FC-3B1</v>
      </c>
      <c r="D5375" s="89" t="str">
        <f>IF(B5375="","",IF($A$8="NÃO DESONERADO",(IF(A5375="SINAPI",VLOOKUP(B5375,#REF!,3,0),IF(A5375="SUDECAP",VLOOKUP(B5375,#REF!,4,0),IF(A5375="SETOP",VLOOKUP(B5375,#REF!,3,0),IF(A5375="COTAÇÃO",VLOOKUP(B5375,'Mapa Cotações'!$A:$N,3,0)))))),(IF(A5375="SINAPI",VLOOKUP(B5375,#REF!,3,0),IF(A5375="SUDECAP",VLOOKUP(B5375,#REF!,4,0),IF(A5375="SETOP",VLOOKUP(B5375,#REF!,3,0),IF(A5375="COTAÇÃO",VLOOKUP(B5375,'Mapa Cotações'!$A:$N,3,0))))))))</f>
        <v>UN</v>
      </c>
      <c r="E5375" s="88">
        <v>1</v>
      </c>
      <c r="F5375" s="89">
        <f>IF(B5375="","",IF($A$8="NÃO DESONERADO",(IF(A5375="SINAPI",VLOOKUP(B5375,#REF!,4,0),IF(A5375="SUDECAP",VLOOKUP(B5375,#REF!,5,0),IF(A5375="SETOP",VLOOKUP(B5375,#REF!,4,0),IF(A5375="COTAÇÃO",VLOOKUP(B5375,'Mapa Cotações'!$A:$N,13,0)))))),(IF(A5375="SINAPI",VLOOKUP(B5375,#REF!,4,0),IF(A5375="SUDECAP",VLOOKUP(B5375,#REF!,5,0),IF(A5375="SETOP",VLOOKUP(B5375,#REF!,4,0),IF(A5375="COTAÇÃO",VLOOKUP(B5375,'Mapa Cotações'!$A:$N,13,0))))))))</f>
        <v>18900</v>
      </c>
      <c r="G5375" s="89">
        <f>IF(D5375="","",E5375*F5375)</f>
        <v>18900</v>
      </c>
    </row>
    <row r="5376" spans="1:11">
      <c r="A5376" s="87"/>
      <c r="B5376" s="87"/>
      <c r="C5376" s="278" t="str">
        <f>IF(B5376="","",IF($A$8="NÃO DESONERADO",(IF(A5376="SINAPI",VLOOKUP(B5376,#REF!,2,0),IF(A5376="SUDECAP",VLOOKUP(B5376,#REF!,3,0),IF(A5376="SETOP",VLOOKUP(B5376,#REF!,2,0),IF(A5376="COTAÇÃO",VLOOKUP(B5376,'Mapa Cotações'!$A:$N,2,0)))))),(IF(A5376="SINAPI",VLOOKUP(B5376,#REF!,2,0),IF(A5376="SUDECAP",VLOOKUP(B5376,#REF!,3,0),IF(A5376="SETOP",VLOOKUP(B5376,#REF!,2,0),IF(A5376="COTAÇÃO",VLOOKUP(B5376,'Mapa Cotações'!$A:$N,2,0))))))))</f>
        <v/>
      </c>
      <c r="D5376" s="89" t="str">
        <f>IF(B5376="","",IF($A$8="NÃO DESONERADO",(IF(A5376="SINAPI",VLOOKUP(B5376,#REF!,3,0),IF(A5376="SUDECAP",VLOOKUP(B5376,#REF!,4,0),IF(A5376="SETOP",VLOOKUP(B5376,#REF!,3,0),IF(A5376="COTAÇÃO",VLOOKUP(B5376,'Mapa Cotações'!$A:$N,3,0)))))),(IF(A5376="SINAPI",VLOOKUP(B5376,#REF!,3,0),IF(A5376="SUDECAP",VLOOKUP(B5376,#REF!,4,0),IF(A5376="SETOP",VLOOKUP(B5376,#REF!,3,0),IF(A5376="COTAÇÃO",VLOOKUP(B5376,'Mapa Cotações'!$A:$N,3,0))))))))</f>
        <v/>
      </c>
      <c r="E5376" s="88"/>
      <c r="F5376" s="89" t="str">
        <f>IF(B5376="","",IF($A$8="NÃO DESONERADO",(IF(A5376="SINAPI",VLOOKUP(B5376,#REF!,4,0),IF(A5376="SUDECAP",VLOOKUP(B5376,#REF!,5,0),IF(A5376="SETOP",VLOOKUP(B5376,#REF!,4,0),IF(A5376="COTAÇÃO",VLOOKUP(B5376,'Mapa Cotações'!$A:$N,13,0)))))),(IF(A5376="SINAPI",VLOOKUP(B5376,#REF!,4,0),IF(A5376="SUDECAP",VLOOKUP(B5376,#REF!,5,0),IF(A5376="SETOP",VLOOKUP(B5376,#REF!,4,0),IF(A5376="COTAÇÃO",VLOOKUP(B5376,'Mapa Cotações'!$A:$N,13,0))))))))</f>
        <v/>
      </c>
      <c r="G5376" s="89" t="str">
        <f>IF(D5376="","",E5376*F5376)</f>
        <v/>
      </c>
    </row>
    <row r="5377" spans="1:7">
      <c r="A5377" s="832" t="s">
        <v>1908</v>
      </c>
      <c r="B5377" s="833"/>
      <c r="C5377" s="833"/>
      <c r="D5377" s="833"/>
      <c r="E5377" s="833"/>
      <c r="F5377" s="834"/>
      <c r="G5377" s="90">
        <f>IF(F5375="","",(SUM(G5375:G5376)))</f>
        <v>18900</v>
      </c>
    </row>
    <row r="5378" spans="1:7">
      <c r="A5378" s="91"/>
      <c r="B5378" s="92"/>
      <c r="C5378" s="161"/>
      <c r="D5378" s="93"/>
      <c r="E5378" s="94"/>
      <c r="F5378" s="95"/>
      <c r="G5378" s="96"/>
    </row>
    <row r="5379" spans="1:7">
      <c r="A5379" s="835" t="s">
        <v>1909</v>
      </c>
      <c r="B5379" s="836"/>
      <c r="C5379" s="836"/>
      <c r="D5379" s="836"/>
      <c r="E5379" s="836"/>
      <c r="F5379" s="836"/>
      <c r="G5379" s="837"/>
    </row>
    <row r="5380" spans="1:7">
      <c r="A5380" s="84" t="s">
        <v>1903</v>
      </c>
      <c r="B5380" s="84" t="s">
        <v>131</v>
      </c>
      <c r="C5380" s="160" t="s">
        <v>1904</v>
      </c>
      <c r="D5380" s="84" t="s">
        <v>167</v>
      </c>
      <c r="E5380" s="85" t="s">
        <v>1905</v>
      </c>
      <c r="F5380" s="86" t="s">
        <v>1906</v>
      </c>
      <c r="G5380" s="86" t="s">
        <v>1907</v>
      </c>
    </row>
    <row r="5381" spans="1:7">
      <c r="A5381" s="87" t="s">
        <v>2</v>
      </c>
      <c r="B5381" s="87">
        <v>88264</v>
      </c>
      <c r="C5381" s="278" t="s">
        <v>1910</v>
      </c>
      <c r="D5381" s="89" t="s">
        <v>137</v>
      </c>
      <c r="E5381" s="88">
        <v>0.53349999999999997</v>
      </c>
      <c r="F5381" s="89">
        <v>10.95</v>
      </c>
      <c r="G5381" s="89">
        <f>IF(D5381="","",E5381*F5381)</f>
        <v>5.8418249999999992</v>
      </c>
    </row>
    <row r="5382" spans="1:7" ht="24">
      <c r="A5382" s="87" t="s">
        <v>2</v>
      </c>
      <c r="B5382" s="87">
        <v>88247</v>
      </c>
      <c r="C5382" s="473" t="s">
        <v>1911</v>
      </c>
      <c r="D5382" s="89" t="s">
        <v>137</v>
      </c>
      <c r="E5382" s="88">
        <v>0.53349999999999997</v>
      </c>
      <c r="F5382" s="89">
        <v>9.02</v>
      </c>
      <c r="G5382" s="89">
        <f>IF(D5382="","",E5382*F5382)</f>
        <v>4.8121699999999992</v>
      </c>
    </row>
    <row r="5383" spans="1:7">
      <c r="A5383" s="832" t="s">
        <v>1908</v>
      </c>
      <c r="B5383" s="833"/>
      <c r="C5383" s="833"/>
      <c r="D5383" s="833"/>
      <c r="E5383" s="833"/>
      <c r="F5383" s="834"/>
      <c r="G5383" s="90">
        <f>IF(F5381="","",(SUM(G5381:G5382)))</f>
        <v>10.653994999999998</v>
      </c>
    </row>
    <row r="5384" spans="1:7">
      <c r="A5384" s="91"/>
      <c r="B5384" s="92"/>
      <c r="C5384" s="162"/>
      <c r="D5384" s="92"/>
      <c r="E5384" s="97"/>
      <c r="F5384" s="98"/>
      <c r="G5384" s="96"/>
    </row>
    <row r="5385" spans="1:7">
      <c r="A5385" s="835" t="s">
        <v>1912</v>
      </c>
      <c r="B5385" s="836"/>
      <c r="C5385" s="836"/>
      <c r="D5385" s="836"/>
      <c r="E5385" s="836"/>
      <c r="F5385" s="836"/>
      <c r="G5385" s="837"/>
    </row>
    <row r="5386" spans="1:7">
      <c r="A5386" s="84" t="s">
        <v>1903</v>
      </c>
      <c r="B5386" s="84" t="s">
        <v>131</v>
      </c>
      <c r="C5386" s="160" t="s">
        <v>1904</v>
      </c>
      <c r="D5386" s="84" t="s">
        <v>167</v>
      </c>
      <c r="E5386" s="85" t="s">
        <v>1905</v>
      </c>
      <c r="F5386" s="86" t="s">
        <v>1906</v>
      </c>
      <c r="G5386" s="86" t="s">
        <v>1907</v>
      </c>
    </row>
    <row r="5387" spans="1:7" ht="48">
      <c r="A5387" s="87" t="s">
        <v>2</v>
      </c>
      <c r="B5387" s="87">
        <v>87367</v>
      </c>
      <c r="C5387" s="278" t="s">
        <v>1934</v>
      </c>
      <c r="D5387" s="89" t="s">
        <v>2198</v>
      </c>
      <c r="E5387" s="88">
        <v>1.34E-2</v>
      </c>
      <c r="F5387" s="89">
        <v>684.07</v>
      </c>
      <c r="G5387" s="89">
        <f>IF(D5387="","",E5387*F5387)</f>
        <v>9.166538000000001</v>
      </c>
    </row>
    <row r="5388" spans="1:7">
      <c r="A5388" s="87"/>
      <c r="B5388" s="87"/>
      <c r="C5388" s="278" t="str">
        <f>IF(B5388="","",IF($A$8="NÃO DESONERADO",(IF(A5388="SINAPI",VLOOKUP(B5388,#REF!,2,0),IF(A5388="SUDECAP",VLOOKUP(B5388,#REF!,3,0),IF(A5388="SETOP",VLOOKUP(B5388,#REF!,2,0),IF(A5388="COTAÇÃO",VLOOKUP(B5388,'Mapa Cotações'!$A:$N,2,0)))))),(IF(A5388="SINAPI",VLOOKUP(B5388,#REF!,2,0),IF(A5388="SUDECAP",VLOOKUP(B5388,#REF!,3,0),IF(A5388="SETOP",VLOOKUP(B5388,#REF!,2,0),IF(A5388="COTAÇÃO",VLOOKUP(B5388,'Mapa Cotações'!$A:$N,2,0))))))))</f>
        <v/>
      </c>
      <c r="D5388" s="89" t="str">
        <f>IF(B5388="","",IF($A$8="NÃO DESONERADO",(IF(A5388="SINAPI",VLOOKUP(B5388,#REF!,3,0),IF(A5388="SUDECAP",VLOOKUP(B5388,#REF!,4,0),IF(A5388="SETOP",VLOOKUP(B5388,#REF!,3,0),IF(A5388="COTAÇÃO",VLOOKUP(B5388,'Mapa Cotações'!$A:$N,3,0)))))),(IF(A5388="SINAPI",VLOOKUP(B5388,#REF!,3,0),IF(A5388="SUDECAP",VLOOKUP(B5388,#REF!,4,0),IF(A5388="SETOP",VLOOKUP(B5388,#REF!,3,0),IF(A5388="COTAÇÃO",VLOOKUP(B5388,'Mapa Cotações'!$A:$N,3,0))))))))</f>
        <v/>
      </c>
      <c r="E5388" s="88"/>
      <c r="F5388" s="89" t="str">
        <f>IF(B5388="","",IF($A$8="NÃO DESONERADO",(IF(A5388="SINAPI",VLOOKUP(B5388,#REF!,4,0),IF(A5388="SUDECAP",VLOOKUP(B5388,#REF!,5,0),IF(A5388="SETOP",VLOOKUP(B5388,#REF!,4,0),IF(A5388="COTAÇÃO",VLOOKUP(B5388,'Mapa Cotações'!$A:$N,13,0)))))),(IF(A5388="SINAPI",VLOOKUP(B5388,#REF!,4,0),IF(A5388="SUDECAP",VLOOKUP(B5388,#REF!,5,0),IF(A5388="SETOP",VLOOKUP(B5388,#REF!,4,0),IF(A5388="COTAÇÃO",VLOOKUP(B5388,'Mapa Cotações'!$A:$N,13,0))))))))</f>
        <v/>
      </c>
      <c r="G5388" s="89" t="str">
        <f>IF(D5388="","",E5388*F5388)</f>
        <v/>
      </c>
    </row>
    <row r="5389" spans="1:7">
      <c r="A5389" s="832" t="s">
        <v>1908</v>
      </c>
      <c r="B5389" s="833" t="s">
        <v>1908</v>
      </c>
      <c r="C5389" s="833"/>
      <c r="D5389" s="833"/>
      <c r="E5389" s="833"/>
      <c r="F5389" s="834"/>
      <c r="G5389" s="90">
        <f>IF(F5387="","",(SUM(G5387:G5388)))</f>
        <v>9.166538000000001</v>
      </c>
    </row>
    <row r="5390" spans="1:7" ht="13.5" thickBot="1">
      <c r="A5390" s="91"/>
      <c r="B5390" s="92"/>
      <c r="C5390" s="163"/>
      <c r="D5390" s="99"/>
      <c r="E5390" s="100"/>
      <c r="F5390" s="101"/>
      <c r="G5390" s="102"/>
    </row>
    <row r="5391" spans="1:7" ht="13.5" thickBot="1">
      <c r="A5391" s="838" t="s">
        <v>1259</v>
      </c>
      <c r="B5391" s="839"/>
      <c r="C5391" s="839"/>
      <c r="D5391" s="839"/>
      <c r="E5391" s="839"/>
      <c r="F5391" s="840"/>
      <c r="G5391" s="103">
        <f>SUM(G5377,G5383,G5389)</f>
        <v>18919.820533000002</v>
      </c>
    </row>
    <row r="5394" spans="1:11">
      <c r="A5394" s="237" t="s">
        <v>131</v>
      </c>
      <c r="B5394" s="190" t="s">
        <v>27</v>
      </c>
      <c r="C5394" s="841" t="s">
        <v>1281</v>
      </c>
      <c r="D5394" s="841"/>
      <c r="E5394" s="841"/>
      <c r="F5394" s="841"/>
      <c r="G5394" s="81" t="s">
        <v>127</v>
      </c>
      <c r="I5394" s="480" t="s">
        <v>1901</v>
      </c>
      <c r="J5394" s="80"/>
      <c r="K5394" s="80"/>
    </row>
    <row r="5395" spans="1:11" ht="50.1" customHeight="1">
      <c r="A5395" s="179" t="s">
        <v>1214</v>
      </c>
      <c r="B5395" s="82"/>
      <c r="C5395" s="830" t="s">
        <v>1215</v>
      </c>
      <c r="D5395" s="831"/>
      <c r="E5395" s="831"/>
      <c r="F5395" s="186">
        <f>G5414</f>
        <v>20869.820533000002</v>
      </c>
      <c r="G5395" s="83" t="s">
        <v>167</v>
      </c>
      <c r="I5395" s="481"/>
      <c r="J5395" s="272"/>
      <c r="K5395" s="272"/>
    </row>
    <row r="5396" spans="1:11">
      <c r="A5396" s="818" t="s">
        <v>1902</v>
      </c>
      <c r="B5396" s="819"/>
      <c r="C5396" s="819"/>
      <c r="D5396" s="819"/>
      <c r="E5396" s="819"/>
      <c r="F5396" s="819"/>
      <c r="G5396" s="820"/>
    </row>
    <row r="5397" spans="1:11">
      <c r="A5397" s="84" t="s">
        <v>1903</v>
      </c>
      <c r="B5397" s="84" t="s">
        <v>131</v>
      </c>
      <c r="C5397" s="160" t="s">
        <v>1904</v>
      </c>
      <c r="D5397" s="84" t="s">
        <v>167</v>
      </c>
      <c r="E5397" s="85" t="s">
        <v>1905</v>
      </c>
      <c r="F5397" s="86" t="s">
        <v>1906</v>
      </c>
      <c r="G5397" s="86" t="s">
        <v>1907</v>
      </c>
    </row>
    <row r="5398" spans="1:11">
      <c r="A5398" s="87" t="s">
        <v>1917</v>
      </c>
      <c r="B5398" s="87" t="s">
        <v>2261</v>
      </c>
      <c r="C5398" s="278" t="str">
        <f>IF(B5398="","",IF($A$8="NÃO DESONERADO",(IF(A5398="SINAPI",VLOOKUP(B5398,#REF!,2,0),IF(A5398="SUDECAP",VLOOKUP(B5398,#REF!,3,0),IF(A5398="SETOP",VLOOKUP(B5398,#REF!,2,0),IF(A5398="COTAÇÃO",VLOOKUP(B5398,'Mapa Cotações'!$A:$N,2,0)))))),(IF(A5398="SINAPI",VLOOKUP(B5398,#REF!,2,0),IF(A5398="SUDECAP",VLOOKUP(B5398,#REF!,3,0),IF(A5398="SETOP",VLOOKUP(B5398,#REF!,2,0),IF(A5398="COTAÇÃO",VLOOKUP(B5398,'Mapa Cotações'!$A:$N,2,0))))))))</f>
        <v>PAINEL ELÉTRICO FC-3B2/3B3</v>
      </c>
      <c r="D5398" s="89" t="str">
        <f>IF(B5398="","",IF($A$8="NÃO DESONERADO",(IF(A5398="SINAPI",VLOOKUP(B5398,#REF!,3,0),IF(A5398="SUDECAP",VLOOKUP(B5398,#REF!,4,0),IF(A5398="SETOP",VLOOKUP(B5398,#REF!,3,0),IF(A5398="COTAÇÃO",VLOOKUP(B5398,'Mapa Cotações'!$A:$N,3,0)))))),(IF(A5398="SINAPI",VLOOKUP(B5398,#REF!,3,0),IF(A5398="SUDECAP",VLOOKUP(B5398,#REF!,4,0),IF(A5398="SETOP",VLOOKUP(B5398,#REF!,3,0),IF(A5398="COTAÇÃO",VLOOKUP(B5398,'Mapa Cotações'!$A:$N,3,0))))))))</f>
        <v>UN</v>
      </c>
      <c r="E5398" s="88">
        <v>1</v>
      </c>
      <c r="F5398" s="89">
        <f>IF(B5398="","",IF($A$8="NÃO DESONERADO",(IF(A5398="SINAPI",VLOOKUP(B5398,#REF!,4,0),IF(A5398="SUDECAP",VLOOKUP(B5398,#REF!,5,0),IF(A5398="SETOP",VLOOKUP(B5398,#REF!,4,0),IF(A5398="COTAÇÃO",VLOOKUP(B5398,'Mapa Cotações'!$A:$N,13,0)))))),(IF(A5398="SINAPI",VLOOKUP(B5398,#REF!,4,0),IF(A5398="SUDECAP",VLOOKUP(B5398,#REF!,5,0),IF(A5398="SETOP",VLOOKUP(B5398,#REF!,4,0),IF(A5398="COTAÇÃO",VLOOKUP(B5398,'Mapa Cotações'!$A:$N,13,0))))))))</f>
        <v>20850</v>
      </c>
      <c r="G5398" s="89">
        <f>IF(D5398="","",E5398*F5398)</f>
        <v>20850</v>
      </c>
    </row>
    <row r="5399" spans="1:11">
      <c r="A5399" s="87"/>
      <c r="B5399" s="87"/>
      <c r="C5399" s="278" t="str">
        <f>IF(B5399="","",IF($A$8="NÃO DESONERADO",(IF(A5399="SINAPI",VLOOKUP(B5399,#REF!,2,0),IF(A5399="SUDECAP",VLOOKUP(B5399,#REF!,3,0),IF(A5399="SETOP",VLOOKUP(B5399,#REF!,2,0),IF(A5399="COTAÇÃO",VLOOKUP(B5399,'Mapa Cotações'!$A:$N,2,0)))))),(IF(A5399="SINAPI",VLOOKUP(B5399,#REF!,2,0),IF(A5399="SUDECAP",VLOOKUP(B5399,#REF!,3,0),IF(A5399="SETOP",VLOOKUP(B5399,#REF!,2,0),IF(A5399="COTAÇÃO",VLOOKUP(B5399,'Mapa Cotações'!$A:$N,2,0))))))))</f>
        <v/>
      </c>
      <c r="D5399" s="89" t="str">
        <f>IF(B5399="","",IF($A$8="NÃO DESONERADO",(IF(A5399="SINAPI",VLOOKUP(B5399,#REF!,3,0),IF(A5399="SUDECAP",VLOOKUP(B5399,#REF!,4,0),IF(A5399="SETOP",VLOOKUP(B5399,#REF!,3,0),IF(A5399="COTAÇÃO",VLOOKUP(B5399,'Mapa Cotações'!$A:$N,3,0)))))),(IF(A5399="SINAPI",VLOOKUP(B5399,#REF!,3,0),IF(A5399="SUDECAP",VLOOKUP(B5399,#REF!,4,0),IF(A5399="SETOP",VLOOKUP(B5399,#REF!,3,0),IF(A5399="COTAÇÃO",VLOOKUP(B5399,'Mapa Cotações'!$A:$N,3,0))))))))</f>
        <v/>
      </c>
      <c r="E5399" s="88"/>
      <c r="F5399" s="89" t="str">
        <f>IF(B5399="","",IF($A$8="NÃO DESONERADO",(IF(A5399="SINAPI",VLOOKUP(B5399,#REF!,4,0),IF(A5399="SUDECAP",VLOOKUP(B5399,#REF!,5,0),IF(A5399="SETOP",VLOOKUP(B5399,#REF!,4,0),IF(A5399="COTAÇÃO",VLOOKUP(B5399,'Mapa Cotações'!$A:$N,13,0)))))),(IF(A5399="SINAPI",VLOOKUP(B5399,#REF!,4,0),IF(A5399="SUDECAP",VLOOKUP(B5399,#REF!,5,0),IF(A5399="SETOP",VLOOKUP(B5399,#REF!,4,0),IF(A5399="COTAÇÃO",VLOOKUP(B5399,'Mapa Cotações'!$A:$N,13,0))))))))</f>
        <v/>
      </c>
      <c r="G5399" s="89" t="str">
        <f>IF(D5399="","",E5399*F5399)</f>
        <v/>
      </c>
    </row>
    <row r="5400" spans="1:11">
      <c r="A5400" s="832" t="s">
        <v>1908</v>
      </c>
      <c r="B5400" s="833"/>
      <c r="C5400" s="833"/>
      <c r="D5400" s="833"/>
      <c r="E5400" s="833"/>
      <c r="F5400" s="834"/>
      <c r="G5400" s="90">
        <f>IF(F5398="","",(SUM(G5398:G5399)))</f>
        <v>20850</v>
      </c>
    </row>
    <row r="5401" spans="1:11">
      <c r="A5401" s="91"/>
      <c r="B5401" s="92"/>
      <c r="C5401" s="161"/>
      <c r="D5401" s="93"/>
      <c r="E5401" s="94"/>
      <c r="F5401" s="95"/>
      <c r="G5401" s="96"/>
    </row>
    <row r="5402" spans="1:11">
      <c r="A5402" s="835" t="s">
        <v>1909</v>
      </c>
      <c r="B5402" s="836"/>
      <c r="C5402" s="836"/>
      <c r="D5402" s="836"/>
      <c r="E5402" s="836"/>
      <c r="F5402" s="836"/>
      <c r="G5402" s="837"/>
    </row>
    <row r="5403" spans="1:11">
      <c r="A5403" s="84" t="s">
        <v>1903</v>
      </c>
      <c r="B5403" s="84" t="s">
        <v>131</v>
      </c>
      <c r="C5403" s="160" t="s">
        <v>1904</v>
      </c>
      <c r="D5403" s="84" t="s">
        <v>167</v>
      </c>
      <c r="E5403" s="85" t="s">
        <v>1905</v>
      </c>
      <c r="F5403" s="86" t="s">
        <v>1906</v>
      </c>
      <c r="G5403" s="86" t="s">
        <v>1907</v>
      </c>
    </row>
    <row r="5404" spans="1:11">
      <c r="A5404" s="87" t="s">
        <v>2</v>
      </c>
      <c r="B5404" s="87">
        <v>88264</v>
      </c>
      <c r="C5404" s="278" t="s">
        <v>1910</v>
      </c>
      <c r="D5404" s="89" t="s">
        <v>137</v>
      </c>
      <c r="E5404" s="88">
        <v>0.53349999999999997</v>
      </c>
      <c r="F5404" s="89">
        <v>10.95</v>
      </c>
      <c r="G5404" s="89">
        <f>IF(D5404="","",E5404*F5404)</f>
        <v>5.8418249999999992</v>
      </c>
    </row>
    <row r="5405" spans="1:11" ht="24">
      <c r="A5405" s="87" t="s">
        <v>2</v>
      </c>
      <c r="B5405" s="87">
        <v>88247</v>
      </c>
      <c r="C5405" s="473" t="s">
        <v>1911</v>
      </c>
      <c r="D5405" s="89" t="s">
        <v>137</v>
      </c>
      <c r="E5405" s="88">
        <v>0.53349999999999997</v>
      </c>
      <c r="F5405" s="89">
        <v>9.02</v>
      </c>
      <c r="G5405" s="89">
        <f>IF(D5405="","",E5405*F5405)</f>
        <v>4.8121699999999992</v>
      </c>
    </row>
    <row r="5406" spans="1:11">
      <c r="A5406" s="832" t="s">
        <v>1908</v>
      </c>
      <c r="B5406" s="833"/>
      <c r="C5406" s="833"/>
      <c r="D5406" s="833"/>
      <c r="E5406" s="833"/>
      <c r="F5406" s="834"/>
      <c r="G5406" s="90">
        <f>IF(F5404="","",(SUM(G5404:G5405)))</f>
        <v>10.653994999999998</v>
      </c>
    </row>
    <row r="5407" spans="1:11">
      <c r="A5407" s="91"/>
      <c r="B5407" s="92"/>
      <c r="C5407" s="162"/>
      <c r="D5407" s="92"/>
      <c r="E5407" s="97"/>
      <c r="F5407" s="98"/>
      <c r="G5407" s="96"/>
    </row>
    <row r="5408" spans="1:11">
      <c r="A5408" s="835" t="s">
        <v>1912</v>
      </c>
      <c r="B5408" s="836"/>
      <c r="C5408" s="836"/>
      <c r="D5408" s="836"/>
      <c r="E5408" s="836"/>
      <c r="F5408" s="836"/>
      <c r="G5408" s="837"/>
    </row>
    <row r="5409" spans="1:11">
      <c r="A5409" s="84" t="s">
        <v>1903</v>
      </c>
      <c r="B5409" s="84" t="s">
        <v>131</v>
      </c>
      <c r="C5409" s="160" t="s">
        <v>1904</v>
      </c>
      <c r="D5409" s="84" t="s">
        <v>167</v>
      </c>
      <c r="E5409" s="85" t="s">
        <v>1905</v>
      </c>
      <c r="F5409" s="86" t="s">
        <v>1906</v>
      </c>
      <c r="G5409" s="86" t="s">
        <v>1907</v>
      </c>
    </row>
    <row r="5410" spans="1:11" ht="48">
      <c r="A5410" s="87" t="s">
        <v>2</v>
      </c>
      <c r="B5410" s="87">
        <v>87367</v>
      </c>
      <c r="C5410" s="278" t="s">
        <v>1934</v>
      </c>
      <c r="D5410" s="89" t="s">
        <v>2198</v>
      </c>
      <c r="E5410" s="88">
        <v>1.34E-2</v>
      </c>
      <c r="F5410" s="89">
        <v>684.07</v>
      </c>
      <c r="G5410" s="89">
        <f>IF(D5410="","",E5410*F5410)</f>
        <v>9.166538000000001</v>
      </c>
    </row>
    <row r="5411" spans="1:11">
      <c r="A5411" s="87"/>
      <c r="B5411" s="87"/>
      <c r="C5411" s="278" t="str">
        <f>IF(B5411="","",IF($A$8="NÃO DESONERADO",(IF(A5411="SINAPI",VLOOKUP(B5411,#REF!,2,0),IF(A5411="SUDECAP",VLOOKUP(B5411,#REF!,3,0),IF(A5411="SETOP",VLOOKUP(B5411,#REF!,2,0),IF(A5411="COTAÇÃO",VLOOKUP(B5411,'Mapa Cotações'!$A:$N,2,0)))))),(IF(A5411="SINAPI",VLOOKUP(B5411,#REF!,2,0),IF(A5411="SUDECAP",VLOOKUP(B5411,#REF!,3,0),IF(A5411="SETOP",VLOOKUP(B5411,#REF!,2,0),IF(A5411="COTAÇÃO",VLOOKUP(B5411,'Mapa Cotações'!$A:$N,2,0))))))))</f>
        <v/>
      </c>
      <c r="D5411" s="89" t="str">
        <f>IF(B5411="","",IF($A$8="NÃO DESONERADO",(IF(A5411="SINAPI",VLOOKUP(B5411,#REF!,3,0),IF(A5411="SUDECAP",VLOOKUP(B5411,#REF!,4,0),IF(A5411="SETOP",VLOOKUP(B5411,#REF!,3,0),IF(A5411="COTAÇÃO",VLOOKUP(B5411,'Mapa Cotações'!$A:$N,3,0)))))),(IF(A5411="SINAPI",VLOOKUP(B5411,#REF!,3,0),IF(A5411="SUDECAP",VLOOKUP(B5411,#REF!,4,0),IF(A5411="SETOP",VLOOKUP(B5411,#REF!,3,0),IF(A5411="COTAÇÃO",VLOOKUP(B5411,'Mapa Cotações'!$A:$N,3,0))))))))</f>
        <v/>
      </c>
      <c r="E5411" s="88"/>
      <c r="F5411" s="89" t="str">
        <f>IF(B5411="","",IF($A$8="NÃO DESONERADO",(IF(A5411="SINAPI",VLOOKUP(B5411,#REF!,4,0),IF(A5411="SUDECAP",VLOOKUP(B5411,#REF!,5,0),IF(A5411="SETOP",VLOOKUP(B5411,#REF!,4,0),IF(A5411="COTAÇÃO",VLOOKUP(B5411,'Mapa Cotações'!$A:$N,13,0)))))),(IF(A5411="SINAPI",VLOOKUP(B5411,#REF!,4,0),IF(A5411="SUDECAP",VLOOKUP(B5411,#REF!,5,0),IF(A5411="SETOP",VLOOKUP(B5411,#REF!,4,0),IF(A5411="COTAÇÃO",VLOOKUP(B5411,'Mapa Cotações'!$A:$N,13,0))))))))</f>
        <v/>
      </c>
      <c r="G5411" s="89" t="str">
        <f>IF(D5411="","",E5411*F5411)</f>
        <v/>
      </c>
    </row>
    <row r="5412" spans="1:11">
      <c r="A5412" s="832" t="s">
        <v>1908</v>
      </c>
      <c r="B5412" s="833" t="s">
        <v>1908</v>
      </c>
      <c r="C5412" s="833"/>
      <c r="D5412" s="833"/>
      <c r="E5412" s="833"/>
      <c r="F5412" s="834"/>
      <c r="G5412" s="90">
        <f>IF(F5410="","",(SUM(G5410:G5411)))</f>
        <v>9.166538000000001</v>
      </c>
    </row>
    <row r="5413" spans="1:11" ht="13.5" thickBot="1">
      <c r="A5413" s="91"/>
      <c r="B5413" s="92"/>
      <c r="C5413" s="163"/>
      <c r="D5413" s="99"/>
      <c r="E5413" s="100"/>
      <c r="F5413" s="101"/>
      <c r="G5413" s="102"/>
    </row>
    <row r="5414" spans="1:11" ht="13.5" thickBot="1">
      <c r="A5414" s="838" t="s">
        <v>1259</v>
      </c>
      <c r="B5414" s="839"/>
      <c r="C5414" s="839"/>
      <c r="D5414" s="839"/>
      <c r="E5414" s="839"/>
      <c r="F5414" s="840"/>
      <c r="G5414" s="103">
        <f>SUM(G5400,G5406,G5412)</f>
        <v>20869.820533000002</v>
      </c>
    </row>
    <row r="5417" spans="1:11">
      <c r="A5417" s="237" t="s">
        <v>131</v>
      </c>
      <c r="B5417" s="190" t="s">
        <v>27</v>
      </c>
      <c r="C5417" s="841" t="s">
        <v>1281</v>
      </c>
      <c r="D5417" s="841"/>
      <c r="E5417" s="841"/>
      <c r="F5417" s="841"/>
      <c r="G5417" s="81" t="s">
        <v>127</v>
      </c>
      <c r="I5417" s="480" t="s">
        <v>1901</v>
      </c>
      <c r="J5417" s="80"/>
      <c r="K5417" s="80"/>
    </row>
    <row r="5418" spans="1:11" ht="50.1" customHeight="1">
      <c r="A5418" s="179" t="s">
        <v>1217</v>
      </c>
      <c r="B5418" s="82"/>
      <c r="C5418" s="830" t="s">
        <v>1218</v>
      </c>
      <c r="D5418" s="831"/>
      <c r="E5418" s="831"/>
      <c r="F5418" s="186">
        <f>G5437</f>
        <v>18919.820533000002</v>
      </c>
      <c r="G5418" s="83" t="s">
        <v>167</v>
      </c>
      <c r="I5418" s="481"/>
      <c r="J5418" s="272"/>
      <c r="K5418" s="272"/>
    </row>
    <row r="5419" spans="1:11">
      <c r="A5419" s="818" t="s">
        <v>1902</v>
      </c>
      <c r="B5419" s="819"/>
      <c r="C5419" s="819"/>
      <c r="D5419" s="819"/>
      <c r="E5419" s="819"/>
      <c r="F5419" s="819"/>
      <c r="G5419" s="820"/>
    </row>
    <row r="5420" spans="1:11">
      <c r="A5420" s="84" t="s">
        <v>1903</v>
      </c>
      <c r="B5420" s="84" t="s">
        <v>131</v>
      </c>
      <c r="C5420" s="160" t="s">
        <v>1904</v>
      </c>
      <c r="D5420" s="84" t="s">
        <v>167</v>
      </c>
      <c r="E5420" s="85" t="s">
        <v>1905</v>
      </c>
      <c r="F5420" s="86" t="s">
        <v>1906</v>
      </c>
      <c r="G5420" s="86" t="s">
        <v>1907</v>
      </c>
    </row>
    <row r="5421" spans="1:11">
      <c r="A5421" s="87" t="s">
        <v>1917</v>
      </c>
      <c r="B5421" s="87" t="s">
        <v>2262</v>
      </c>
      <c r="C5421" s="278" t="str">
        <f>IF(B5421="","",IF($A$8="NÃO DESONERADO",(IF(A5421="SINAPI",VLOOKUP(B5421,#REF!,2,0),IF(A5421="SUDECAP",VLOOKUP(B5421,#REF!,3,0),IF(A5421="SETOP",VLOOKUP(B5421,#REF!,2,0),IF(A5421="COTAÇÃO",VLOOKUP(B5421,'Mapa Cotações'!$A:$N,2,0)))))),(IF(A5421="SINAPI",VLOOKUP(B5421,#REF!,2,0),IF(A5421="SUDECAP",VLOOKUP(B5421,#REF!,3,0),IF(A5421="SETOP",VLOOKUP(B5421,#REF!,2,0),IF(A5421="COTAÇÃO",VLOOKUP(B5421,'Mapa Cotações'!$A:$N,2,0))))))))</f>
        <v>PAINEL ELÉTRICO FC-3B4</v>
      </c>
      <c r="D5421" s="89" t="str">
        <f>IF(B5421="","",IF($A$8="NÃO DESONERADO",(IF(A5421="SINAPI",VLOOKUP(B5421,#REF!,3,0),IF(A5421="SUDECAP",VLOOKUP(B5421,#REF!,4,0),IF(A5421="SETOP",VLOOKUP(B5421,#REF!,3,0),IF(A5421="COTAÇÃO",VLOOKUP(B5421,'Mapa Cotações'!$A:$N,3,0)))))),(IF(A5421="SINAPI",VLOOKUP(B5421,#REF!,3,0),IF(A5421="SUDECAP",VLOOKUP(B5421,#REF!,4,0),IF(A5421="SETOP",VLOOKUP(B5421,#REF!,3,0),IF(A5421="COTAÇÃO",VLOOKUP(B5421,'Mapa Cotações'!$A:$N,3,0))))))))</f>
        <v>UN</v>
      </c>
      <c r="E5421" s="88">
        <v>1</v>
      </c>
      <c r="F5421" s="89">
        <f>IF(B5421="","",IF($A$8="NÃO DESONERADO",(IF(A5421="SINAPI",VLOOKUP(B5421,#REF!,4,0),IF(A5421="SUDECAP",VLOOKUP(B5421,#REF!,5,0),IF(A5421="SETOP",VLOOKUP(B5421,#REF!,4,0),IF(A5421="COTAÇÃO",VLOOKUP(B5421,'Mapa Cotações'!$A:$N,13,0)))))),(IF(A5421="SINAPI",VLOOKUP(B5421,#REF!,4,0),IF(A5421="SUDECAP",VLOOKUP(B5421,#REF!,5,0),IF(A5421="SETOP",VLOOKUP(B5421,#REF!,4,0),IF(A5421="COTAÇÃO",VLOOKUP(B5421,'Mapa Cotações'!$A:$N,13,0))))))))</f>
        <v>18900</v>
      </c>
      <c r="G5421" s="89">
        <f>IF(D5421="","",E5421*F5421)</f>
        <v>18900</v>
      </c>
    </row>
    <row r="5422" spans="1:11">
      <c r="A5422" s="87"/>
      <c r="B5422" s="87"/>
      <c r="C5422" s="278" t="str">
        <f>IF(B5422="","",IF($A$8="NÃO DESONERADO",(IF(A5422="SINAPI",VLOOKUP(B5422,#REF!,2,0),IF(A5422="SUDECAP",VLOOKUP(B5422,#REF!,3,0),IF(A5422="SETOP",VLOOKUP(B5422,#REF!,2,0),IF(A5422="COTAÇÃO",VLOOKUP(B5422,'Mapa Cotações'!$A:$N,2,0)))))),(IF(A5422="SINAPI",VLOOKUP(B5422,#REF!,2,0),IF(A5422="SUDECAP",VLOOKUP(B5422,#REF!,3,0),IF(A5422="SETOP",VLOOKUP(B5422,#REF!,2,0),IF(A5422="COTAÇÃO",VLOOKUP(B5422,'Mapa Cotações'!$A:$N,2,0))))))))</f>
        <v/>
      </c>
      <c r="D5422" s="89" t="str">
        <f>IF(B5422="","",IF($A$8="NÃO DESONERADO",(IF(A5422="SINAPI",VLOOKUP(B5422,#REF!,3,0),IF(A5422="SUDECAP",VLOOKUP(B5422,#REF!,4,0),IF(A5422="SETOP",VLOOKUP(B5422,#REF!,3,0),IF(A5422="COTAÇÃO",VLOOKUP(B5422,'Mapa Cotações'!$A:$N,3,0)))))),(IF(A5422="SINAPI",VLOOKUP(B5422,#REF!,3,0),IF(A5422="SUDECAP",VLOOKUP(B5422,#REF!,4,0),IF(A5422="SETOP",VLOOKUP(B5422,#REF!,3,0),IF(A5422="COTAÇÃO",VLOOKUP(B5422,'Mapa Cotações'!$A:$N,3,0))))))))</f>
        <v/>
      </c>
      <c r="E5422" s="88"/>
      <c r="F5422" s="89" t="str">
        <f>IF(B5422="","",IF($A$8="NÃO DESONERADO",(IF(A5422="SINAPI",VLOOKUP(B5422,#REF!,4,0),IF(A5422="SUDECAP",VLOOKUP(B5422,#REF!,5,0),IF(A5422="SETOP",VLOOKUP(B5422,#REF!,4,0),IF(A5422="COTAÇÃO",VLOOKUP(B5422,'Mapa Cotações'!$A:$N,13,0)))))),(IF(A5422="SINAPI",VLOOKUP(B5422,#REF!,4,0),IF(A5422="SUDECAP",VLOOKUP(B5422,#REF!,5,0),IF(A5422="SETOP",VLOOKUP(B5422,#REF!,4,0),IF(A5422="COTAÇÃO",VLOOKUP(B5422,'Mapa Cotações'!$A:$N,13,0))))))))</f>
        <v/>
      </c>
      <c r="G5422" s="89" t="str">
        <f>IF(D5422="","",E5422*F5422)</f>
        <v/>
      </c>
    </row>
    <row r="5423" spans="1:11">
      <c r="A5423" s="832" t="s">
        <v>1908</v>
      </c>
      <c r="B5423" s="833"/>
      <c r="C5423" s="833"/>
      <c r="D5423" s="833"/>
      <c r="E5423" s="833"/>
      <c r="F5423" s="834"/>
      <c r="G5423" s="90">
        <f>IF(F5421="","",(SUM(G5421:G5422)))</f>
        <v>18900</v>
      </c>
    </row>
    <row r="5424" spans="1:11">
      <c r="A5424" s="91"/>
      <c r="B5424" s="92"/>
      <c r="C5424" s="161"/>
      <c r="D5424" s="93"/>
      <c r="E5424" s="94"/>
      <c r="F5424" s="95"/>
      <c r="G5424" s="96"/>
    </row>
    <row r="5425" spans="1:11">
      <c r="A5425" s="835" t="s">
        <v>1909</v>
      </c>
      <c r="B5425" s="836"/>
      <c r="C5425" s="836"/>
      <c r="D5425" s="836"/>
      <c r="E5425" s="836"/>
      <c r="F5425" s="836"/>
      <c r="G5425" s="837"/>
    </row>
    <row r="5426" spans="1:11">
      <c r="A5426" s="84" t="s">
        <v>1903</v>
      </c>
      <c r="B5426" s="84" t="s">
        <v>131</v>
      </c>
      <c r="C5426" s="160" t="s">
        <v>1904</v>
      </c>
      <c r="D5426" s="84" t="s">
        <v>167</v>
      </c>
      <c r="E5426" s="85" t="s">
        <v>1905</v>
      </c>
      <c r="F5426" s="86" t="s">
        <v>1906</v>
      </c>
      <c r="G5426" s="86" t="s">
        <v>1907</v>
      </c>
    </row>
    <row r="5427" spans="1:11">
      <c r="A5427" s="87" t="s">
        <v>2</v>
      </c>
      <c r="B5427" s="87">
        <v>88264</v>
      </c>
      <c r="C5427" s="278" t="s">
        <v>1910</v>
      </c>
      <c r="D5427" s="89" t="s">
        <v>137</v>
      </c>
      <c r="E5427" s="88">
        <v>0.53349999999999997</v>
      </c>
      <c r="F5427" s="89">
        <v>10.95</v>
      </c>
      <c r="G5427" s="89">
        <f>IF(D5427="","",E5427*F5427)</f>
        <v>5.8418249999999992</v>
      </c>
    </row>
    <row r="5428" spans="1:11" ht="24">
      <c r="A5428" s="87" t="s">
        <v>2</v>
      </c>
      <c r="B5428" s="87">
        <v>88247</v>
      </c>
      <c r="C5428" s="473" t="s">
        <v>1911</v>
      </c>
      <c r="D5428" s="89" t="s">
        <v>137</v>
      </c>
      <c r="E5428" s="88">
        <v>0.53349999999999997</v>
      </c>
      <c r="F5428" s="89">
        <v>9.02</v>
      </c>
      <c r="G5428" s="89">
        <f>IF(D5428="","",E5428*F5428)</f>
        <v>4.8121699999999992</v>
      </c>
    </row>
    <row r="5429" spans="1:11">
      <c r="A5429" s="832" t="s">
        <v>1908</v>
      </c>
      <c r="B5429" s="833"/>
      <c r="C5429" s="833"/>
      <c r="D5429" s="833"/>
      <c r="E5429" s="833"/>
      <c r="F5429" s="834"/>
      <c r="G5429" s="90">
        <f>IF(F5427="","",(SUM(G5427:G5428)))</f>
        <v>10.653994999999998</v>
      </c>
    </row>
    <row r="5430" spans="1:11">
      <c r="A5430" s="91"/>
      <c r="B5430" s="92"/>
      <c r="C5430" s="162"/>
      <c r="D5430" s="92"/>
      <c r="E5430" s="97"/>
      <c r="F5430" s="98"/>
      <c r="G5430" s="96"/>
    </row>
    <row r="5431" spans="1:11">
      <c r="A5431" s="835" t="s">
        <v>1912</v>
      </c>
      <c r="B5431" s="836"/>
      <c r="C5431" s="836"/>
      <c r="D5431" s="836"/>
      <c r="E5431" s="836"/>
      <c r="F5431" s="836"/>
      <c r="G5431" s="837"/>
    </row>
    <row r="5432" spans="1:11">
      <c r="A5432" s="84" t="s">
        <v>1903</v>
      </c>
      <c r="B5432" s="84" t="s">
        <v>131</v>
      </c>
      <c r="C5432" s="160" t="s">
        <v>1904</v>
      </c>
      <c r="D5432" s="84" t="s">
        <v>167</v>
      </c>
      <c r="E5432" s="85" t="s">
        <v>1905</v>
      </c>
      <c r="F5432" s="86" t="s">
        <v>1906</v>
      </c>
      <c r="G5432" s="86" t="s">
        <v>1907</v>
      </c>
    </row>
    <row r="5433" spans="1:11" ht="48">
      <c r="A5433" s="87" t="s">
        <v>2</v>
      </c>
      <c r="B5433" s="87">
        <v>87367</v>
      </c>
      <c r="C5433" s="278" t="s">
        <v>1934</v>
      </c>
      <c r="D5433" s="89" t="s">
        <v>2198</v>
      </c>
      <c r="E5433" s="88">
        <v>1.34E-2</v>
      </c>
      <c r="F5433" s="89">
        <v>684.07</v>
      </c>
      <c r="G5433" s="89">
        <f>IF(D5433="","",E5433*F5433)</f>
        <v>9.166538000000001</v>
      </c>
    </row>
    <row r="5434" spans="1:11">
      <c r="A5434" s="87"/>
      <c r="B5434" s="87"/>
      <c r="C5434" s="278" t="str">
        <f>IF(B5434="","",IF($A$8="NÃO DESONERADO",(IF(A5434="SINAPI",VLOOKUP(B5434,#REF!,2,0),IF(A5434="SUDECAP",VLOOKUP(B5434,#REF!,3,0),IF(A5434="SETOP",VLOOKUP(B5434,#REF!,2,0),IF(A5434="COTAÇÃO",VLOOKUP(B5434,'Mapa Cotações'!$A:$N,2,0)))))),(IF(A5434="SINAPI",VLOOKUP(B5434,#REF!,2,0),IF(A5434="SUDECAP",VLOOKUP(B5434,#REF!,3,0),IF(A5434="SETOP",VLOOKUP(B5434,#REF!,2,0),IF(A5434="COTAÇÃO",VLOOKUP(B5434,'Mapa Cotações'!$A:$N,2,0))))))))</f>
        <v/>
      </c>
      <c r="D5434" s="89" t="str">
        <f>IF(B5434="","",IF($A$8="NÃO DESONERADO",(IF(A5434="SINAPI",VLOOKUP(B5434,#REF!,3,0),IF(A5434="SUDECAP",VLOOKUP(B5434,#REF!,4,0),IF(A5434="SETOP",VLOOKUP(B5434,#REF!,3,0),IF(A5434="COTAÇÃO",VLOOKUP(B5434,'Mapa Cotações'!$A:$N,3,0)))))),(IF(A5434="SINAPI",VLOOKUP(B5434,#REF!,3,0),IF(A5434="SUDECAP",VLOOKUP(B5434,#REF!,4,0),IF(A5434="SETOP",VLOOKUP(B5434,#REF!,3,0),IF(A5434="COTAÇÃO",VLOOKUP(B5434,'Mapa Cotações'!$A:$N,3,0))))))))</f>
        <v/>
      </c>
      <c r="E5434" s="88"/>
      <c r="F5434" s="89" t="str">
        <f>IF(B5434="","",IF($A$8="NÃO DESONERADO",(IF(A5434="SINAPI",VLOOKUP(B5434,#REF!,4,0),IF(A5434="SUDECAP",VLOOKUP(B5434,#REF!,5,0),IF(A5434="SETOP",VLOOKUP(B5434,#REF!,4,0),IF(A5434="COTAÇÃO",VLOOKUP(B5434,'Mapa Cotações'!$A:$N,13,0)))))),(IF(A5434="SINAPI",VLOOKUP(B5434,#REF!,4,0),IF(A5434="SUDECAP",VLOOKUP(B5434,#REF!,5,0),IF(A5434="SETOP",VLOOKUP(B5434,#REF!,4,0),IF(A5434="COTAÇÃO",VLOOKUP(B5434,'Mapa Cotações'!$A:$N,13,0))))))))</f>
        <v/>
      </c>
      <c r="G5434" s="89" t="str">
        <f>IF(D5434="","",E5434*F5434)</f>
        <v/>
      </c>
    </row>
    <row r="5435" spans="1:11">
      <c r="A5435" s="832" t="s">
        <v>1908</v>
      </c>
      <c r="B5435" s="833" t="s">
        <v>1908</v>
      </c>
      <c r="C5435" s="833"/>
      <c r="D5435" s="833"/>
      <c r="E5435" s="833"/>
      <c r="F5435" s="834"/>
      <c r="G5435" s="90">
        <f>IF(F5433="","",(SUM(G5433:G5434)))</f>
        <v>9.166538000000001</v>
      </c>
    </row>
    <row r="5436" spans="1:11" ht="13.5" thickBot="1">
      <c r="A5436" s="91"/>
      <c r="B5436" s="92"/>
      <c r="C5436" s="163"/>
      <c r="D5436" s="99"/>
      <c r="E5436" s="100"/>
      <c r="F5436" s="101"/>
      <c r="G5436" s="102"/>
    </row>
    <row r="5437" spans="1:11" ht="13.5" thickBot="1">
      <c r="A5437" s="838" t="s">
        <v>1259</v>
      </c>
      <c r="B5437" s="839"/>
      <c r="C5437" s="839"/>
      <c r="D5437" s="839"/>
      <c r="E5437" s="839"/>
      <c r="F5437" s="840"/>
      <c r="G5437" s="103">
        <f>SUM(G5423,G5429,G5435)</f>
        <v>18919.820533000002</v>
      </c>
    </row>
    <row r="5440" spans="1:11">
      <c r="A5440" s="237" t="s">
        <v>131</v>
      </c>
      <c r="B5440" s="190" t="s">
        <v>27</v>
      </c>
      <c r="C5440" s="841" t="s">
        <v>1281</v>
      </c>
      <c r="D5440" s="841"/>
      <c r="E5440" s="841"/>
      <c r="F5440" s="841"/>
      <c r="G5440" s="81" t="s">
        <v>127</v>
      </c>
      <c r="I5440" s="480" t="s">
        <v>1901</v>
      </c>
      <c r="J5440" s="80"/>
      <c r="K5440" s="80"/>
    </row>
    <row r="5441" spans="1:11" ht="50.1" customHeight="1">
      <c r="A5441" s="179" t="s">
        <v>1220</v>
      </c>
      <c r="B5441" s="82"/>
      <c r="C5441" s="830" t="s">
        <v>1221</v>
      </c>
      <c r="D5441" s="831"/>
      <c r="E5441" s="831"/>
      <c r="F5441" s="186">
        <f>G5460</f>
        <v>5.2733980000000003</v>
      </c>
      <c r="G5441" s="83" t="s">
        <v>180</v>
      </c>
      <c r="I5441" s="481"/>
      <c r="J5441" s="272"/>
      <c r="K5441" s="272"/>
    </row>
    <row r="5442" spans="1:11">
      <c r="A5442" s="818" t="s">
        <v>1902</v>
      </c>
      <c r="B5442" s="819"/>
      <c r="C5442" s="819"/>
      <c r="D5442" s="819"/>
      <c r="E5442" s="819"/>
      <c r="F5442" s="819"/>
      <c r="G5442" s="820"/>
    </row>
    <row r="5443" spans="1:11">
      <c r="A5443" s="84" t="s">
        <v>1903</v>
      </c>
      <c r="B5443" s="84" t="s">
        <v>131</v>
      </c>
      <c r="C5443" s="160" t="s">
        <v>1904</v>
      </c>
      <c r="D5443" s="84" t="s">
        <v>167</v>
      </c>
      <c r="E5443" s="85" t="s">
        <v>1905</v>
      </c>
      <c r="F5443" s="86" t="s">
        <v>1906</v>
      </c>
      <c r="G5443" s="86" t="s">
        <v>1907</v>
      </c>
    </row>
    <row r="5444" spans="1:11">
      <c r="A5444" s="87" t="s">
        <v>2</v>
      </c>
      <c r="B5444" s="87">
        <v>34602</v>
      </c>
      <c r="C5444" s="278" t="s">
        <v>2263</v>
      </c>
      <c r="D5444" s="89" t="s">
        <v>1401</v>
      </c>
      <c r="E5444" s="88">
        <v>1.2434000000000001</v>
      </c>
      <c r="F5444" s="89">
        <v>3.45</v>
      </c>
      <c r="G5444" s="89">
        <f>IF(D5444="","",E5444*F5444)</f>
        <v>4.2897300000000005</v>
      </c>
    </row>
    <row r="5445" spans="1:11" ht="24">
      <c r="A5445" s="87" t="s">
        <v>2</v>
      </c>
      <c r="B5445" s="87">
        <v>21127</v>
      </c>
      <c r="C5445" s="278" t="s">
        <v>2264</v>
      </c>
      <c r="D5445" s="89" t="s">
        <v>1932</v>
      </c>
      <c r="E5445" s="88">
        <f>0.0094*2</f>
        <v>1.8800000000000001E-2</v>
      </c>
      <c r="F5445" s="89">
        <v>3.46</v>
      </c>
      <c r="G5445" s="89">
        <f>IF(D5445="","",E5445*F5445)</f>
        <v>6.5048000000000009E-2</v>
      </c>
    </row>
    <row r="5446" spans="1:11">
      <c r="A5446" s="832" t="s">
        <v>1908</v>
      </c>
      <c r="B5446" s="833"/>
      <c r="C5446" s="833"/>
      <c r="D5446" s="833"/>
      <c r="E5446" s="833"/>
      <c r="F5446" s="834"/>
      <c r="G5446" s="90">
        <f>IF(F5444="","",(SUM(G5444:G5445)))</f>
        <v>4.3547780000000005</v>
      </c>
    </row>
    <row r="5447" spans="1:11">
      <c r="A5447" s="91"/>
      <c r="B5447" s="92"/>
      <c r="C5447" s="161"/>
      <c r="D5447" s="93"/>
      <c r="E5447" s="94"/>
      <c r="F5447" s="95"/>
      <c r="G5447" s="96"/>
    </row>
    <row r="5448" spans="1:11">
      <c r="A5448" s="835" t="s">
        <v>1909</v>
      </c>
      <c r="B5448" s="836"/>
      <c r="C5448" s="836"/>
      <c r="D5448" s="836"/>
      <c r="E5448" s="836"/>
      <c r="F5448" s="836"/>
      <c r="G5448" s="837"/>
    </row>
    <row r="5449" spans="1:11">
      <c r="A5449" s="84" t="s">
        <v>1903</v>
      </c>
      <c r="B5449" s="84" t="s">
        <v>131</v>
      </c>
      <c r="C5449" s="160" t="s">
        <v>1904</v>
      </c>
      <c r="D5449" s="84" t="s">
        <v>167</v>
      </c>
      <c r="E5449" s="85" t="s">
        <v>1905</v>
      </c>
      <c r="F5449" s="86" t="s">
        <v>1906</v>
      </c>
      <c r="G5449" s="86" t="s">
        <v>1907</v>
      </c>
    </row>
    <row r="5450" spans="1:11">
      <c r="A5450" s="87" t="s">
        <v>2</v>
      </c>
      <c r="B5450" s="87">
        <v>88264</v>
      </c>
      <c r="C5450" s="278" t="s">
        <v>1910</v>
      </c>
      <c r="D5450" s="89" t="s">
        <v>137</v>
      </c>
      <c r="E5450" s="88">
        <f>0.023*2</f>
        <v>4.5999999999999999E-2</v>
      </c>
      <c r="F5450" s="89">
        <v>10.95</v>
      </c>
      <c r="G5450" s="89">
        <f>IF(D5450="","",E5450*F5450)</f>
        <v>0.50369999999999993</v>
      </c>
    </row>
    <row r="5451" spans="1:11" ht="24">
      <c r="A5451" s="87" t="s">
        <v>2</v>
      </c>
      <c r="B5451" s="87">
        <v>88247</v>
      </c>
      <c r="C5451" s="473" t="s">
        <v>1911</v>
      </c>
      <c r="D5451" s="89" t="s">
        <v>137</v>
      </c>
      <c r="E5451" s="88">
        <f>0.023*2</f>
        <v>4.5999999999999999E-2</v>
      </c>
      <c r="F5451" s="89">
        <v>9.02</v>
      </c>
      <c r="G5451" s="89">
        <f>IF(D5451="","",E5451*F5451)</f>
        <v>0.41491999999999996</v>
      </c>
    </row>
    <row r="5452" spans="1:11">
      <c r="A5452" s="832" t="s">
        <v>1908</v>
      </c>
      <c r="B5452" s="833"/>
      <c r="C5452" s="833"/>
      <c r="D5452" s="833"/>
      <c r="E5452" s="833"/>
      <c r="F5452" s="834"/>
      <c r="G5452" s="90">
        <f>IF(F5450="","",(SUM(G5450:G5451)))</f>
        <v>0.91861999999999988</v>
      </c>
    </row>
    <row r="5453" spans="1:11">
      <c r="A5453" s="91"/>
      <c r="B5453" s="92"/>
      <c r="C5453" s="162"/>
      <c r="D5453" s="92"/>
      <c r="E5453" s="97"/>
      <c r="F5453" s="98"/>
      <c r="G5453" s="96"/>
    </row>
    <row r="5454" spans="1:11">
      <c r="A5454" s="835" t="s">
        <v>1912</v>
      </c>
      <c r="B5454" s="836"/>
      <c r="C5454" s="836"/>
      <c r="D5454" s="836"/>
      <c r="E5454" s="836"/>
      <c r="F5454" s="836"/>
      <c r="G5454" s="837"/>
    </row>
    <row r="5455" spans="1:11">
      <c r="A5455" s="84" t="s">
        <v>1903</v>
      </c>
      <c r="B5455" s="84" t="s">
        <v>131</v>
      </c>
      <c r="C5455" s="160" t="s">
        <v>1904</v>
      </c>
      <c r="D5455" s="84" t="s">
        <v>167</v>
      </c>
      <c r="E5455" s="85" t="s">
        <v>1905</v>
      </c>
      <c r="F5455" s="86" t="s">
        <v>1906</v>
      </c>
      <c r="G5455" s="86" t="s">
        <v>1907</v>
      </c>
    </row>
    <row r="5456" spans="1:11">
      <c r="A5456" s="87"/>
      <c r="B5456" s="87"/>
      <c r="C5456" s="278" t="str">
        <f>IF(B5456="","",IF($A$8="NÃO DESONERADO",(IF(A5456="SINAPI",VLOOKUP(B5456,#REF!,2,0),IF(A5456="SUDECAP",VLOOKUP(B5456,#REF!,3,0),IF(A5456="SETOP",VLOOKUP(B5456,#REF!,2,0),IF(A5456="COTAÇÃO",VLOOKUP(B5456,'Mapa Cotações'!$A:$N,2,0)))))),(IF(A5456="SINAPI",VLOOKUP(B5456,#REF!,2,0),IF(A5456="SUDECAP",VLOOKUP(B5456,#REF!,3,0),IF(A5456="SETOP",VLOOKUP(B5456,#REF!,2,0),IF(A5456="COTAÇÃO",VLOOKUP(B5456,'Mapa Cotações'!$A:$N,2,0))))))))</f>
        <v/>
      </c>
      <c r="D5456" s="89" t="str">
        <f>IF(B5456="","",IF($A$8="NÃO DESONERADO",(IF(A5456="SINAPI",VLOOKUP(B5456,#REF!,3,0),IF(A5456="SUDECAP",VLOOKUP(B5456,#REF!,4,0),IF(A5456="SETOP",VLOOKUP(B5456,#REF!,3,0),IF(A5456="COTAÇÃO",VLOOKUP(B5456,'Mapa Cotações'!$A:$N,3,0)))))),(IF(A5456="SINAPI",VLOOKUP(B5456,#REF!,3,0),IF(A5456="SUDECAP",VLOOKUP(B5456,#REF!,4,0),IF(A5456="SETOP",VLOOKUP(B5456,#REF!,3,0),IF(A5456="COTAÇÃO",VLOOKUP(B5456,'Mapa Cotações'!$A:$N,3,0))))))))</f>
        <v/>
      </c>
      <c r="E5456" s="88"/>
      <c r="F5456" s="89" t="str">
        <f>IF(B5456="","",IF($A$8="NÃO DESONERADO",(IF(A5456="SINAPI",VLOOKUP(B5456,#REF!,4,0),IF(A5456="SUDECAP",VLOOKUP(B5456,#REF!,5,0),IF(A5456="SETOP",VLOOKUP(B5456,#REF!,4,0),IF(A5456="COTAÇÃO",VLOOKUP(B5456,'Mapa Cotações'!$A:$N,13,0)))))),(IF(A5456="SINAPI",VLOOKUP(B5456,#REF!,4,0),IF(A5456="SUDECAP",VLOOKUP(B5456,#REF!,5,0),IF(A5456="SETOP",VLOOKUP(B5456,#REF!,4,0),IF(A5456="COTAÇÃO",VLOOKUP(B5456,'Mapa Cotações'!$A:$N,13,0))))))))</f>
        <v/>
      </c>
      <c r="G5456" s="89" t="str">
        <f>IF(D5456="","",E5456*F5456)</f>
        <v/>
      </c>
    </row>
    <row r="5457" spans="1:11">
      <c r="A5457" s="87"/>
      <c r="B5457" s="87"/>
      <c r="C5457" s="278" t="str">
        <f>IF(B5457="","",IF($A$8="NÃO DESONERADO",(IF(A5457="SINAPI",VLOOKUP(B5457,#REF!,2,0),IF(A5457="SUDECAP",VLOOKUP(B5457,#REF!,3,0),IF(A5457="SETOP",VLOOKUP(B5457,#REF!,2,0),IF(A5457="COTAÇÃO",VLOOKUP(B5457,'Mapa Cotações'!$A:$N,2,0)))))),(IF(A5457="SINAPI",VLOOKUP(B5457,#REF!,2,0),IF(A5457="SUDECAP",VLOOKUP(B5457,#REF!,3,0),IF(A5457="SETOP",VLOOKUP(B5457,#REF!,2,0),IF(A5457="COTAÇÃO",VLOOKUP(B5457,'Mapa Cotações'!$A:$N,2,0))))))))</f>
        <v/>
      </c>
      <c r="D5457" s="89" t="str">
        <f>IF(B5457="","",IF($A$8="NÃO DESONERADO",(IF(A5457="SINAPI",VLOOKUP(B5457,#REF!,3,0),IF(A5457="SUDECAP",VLOOKUP(B5457,#REF!,4,0),IF(A5457="SETOP",VLOOKUP(B5457,#REF!,3,0),IF(A5457="COTAÇÃO",VLOOKUP(B5457,'Mapa Cotações'!$A:$N,3,0)))))),(IF(A5457="SINAPI",VLOOKUP(B5457,#REF!,3,0),IF(A5457="SUDECAP",VLOOKUP(B5457,#REF!,4,0),IF(A5457="SETOP",VLOOKUP(B5457,#REF!,3,0),IF(A5457="COTAÇÃO",VLOOKUP(B5457,'Mapa Cotações'!$A:$N,3,0))))))))</f>
        <v/>
      </c>
      <c r="E5457" s="88"/>
      <c r="F5457" s="89" t="str">
        <f>IF(B5457="","",IF($A$8="NÃO DESONERADO",(IF(A5457="SINAPI",VLOOKUP(B5457,#REF!,4,0),IF(A5457="SUDECAP",VLOOKUP(B5457,#REF!,5,0),IF(A5457="SETOP",VLOOKUP(B5457,#REF!,4,0),IF(A5457="COTAÇÃO",VLOOKUP(B5457,'Mapa Cotações'!$A:$N,13,0)))))),(IF(A5457="SINAPI",VLOOKUP(B5457,#REF!,4,0),IF(A5457="SUDECAP",VLOOKUP(B5457,#REF!,5,0),IF(A5457="SETOP",VLOOKUP(B5457,#REF!,4,0),IF(A5457="COTAÇÃO",VLOOKUP(B5457,'Mapa Cotações'!$A:$N,13,0))))))))</f>
        <v/>
      </c>
      <c r="G5457" s="89" t="str">
        <f>IF(D5457="","",E5457*F5457)</f>
        <v/>
      </c>
    </row>
    <row r="5458" spans="1:11">
      <c r="A5458" s="832" t="s">
        <v>1908</v>
      </c>
      <c r="B5458" s="833" t="s">
        <v>1908</v>
      </c>
      <c r="C5458" s="833"/>
      <c r="D5458" s="833"/>
      <c r="E5458" s="833"/>
      <c r="F5458" s="834"/>
      <c r="G5458" s="90" t="str">
        <f>IF(F5456="","",(SUM(G5456:G5457)))</f>
        <v/>
      </c>
    </row>
    <row r="5459" spans="1:11" ht="13.5" thickBot="1">
      <c r="A5459" s="91"/>
      <c r="B5459" s="92"/>
      <c r="C5459" s="163"/>
      <c r="D5459" s="99"/>
      <c r="E5459" s="100"/>
      <c r="F5459" s="101"/>
      <c r="G5459" s="102"/>
    </row>
    <row r="5460" spans="1:11" ht="13.5" thickBot="1">
      <c r="A5460" s="838" t="s">
        <v>1259</v>
      </c>
      <c r="B5460" s="839"/>
      <c r="C5460" s="839"/>
      <c r="D5460" s="839"/>
      <c r="E5460" s="839"/>
      <c r="F5460" s="840"/>
      <c r="G5460" s="103">
        <f>SUM(G5446,G5452,G5458)</f>
        <v>5.2733980000000003</v>
      </c>
    </row>
    <row r="5463" spans="1:11">
      <c r="A5463" s="237" t="s">
        <v>131</v>
      </c>
      <c r="B5463" s="190" t="s">
        <v>27</v>
      </c>
      <c r="C5463" s="841" t="s">
        <v>1281</v>
      </c>
      <c r="D5463" s="841"/>
      <c r="E5463" s="841"/>
      <c r="F5463" s="841"/>
      <c r="G5463" s="81" t="s">
        <v>127</v>
      </c>
      <c r="I5463" s="480" t="s">
        <v>1901</v>
      </c>
      <c r="J5463" s="80"/>
      <c r="K5463" s="80"/>
    </row>
    <row r="5464" spans="1:11" ht="50.1" customHeight="1">
      <c r="A5464" s="179" t="s">
        <v>1223</v>
      </c>
      <c r="B5464" s="82"/>
      <c r="C5464" s="830" t="s">
        <v>1224</v>
      </c>
      <c r="D5464" s="831"/>
      <c r="E5464" s="831"/>
      <c r="F5464" s="186">
        <f>G5483</f>
        <v>7.3194820000000007</v>
      </c>
      <c r="G5464" s="83" t="s">
        <v>180</v>
      </c>
      <c r="I5464" s="481"/>
      <c r="J5464" s="272"/>
      <c r="K5464" s="272"/>
    </row>
    <row r="5465" spans="1:11">
      <c r="A5465" s="818" t="s">
        <v>1902</v>
      </c>
      <c r="B5465" s="819"/>
      <c r="C5465" s="819"/>
      <c r="D5465" s="819"/>
      <c r="E5465" s="819"/>
      <c r="F5465" s="819"/>
      <c r="G5465" s="820"/>
    </row>
    <row r="5466" spans="1:11">
      <c r="A5466" s="84" t="s">
        <v>1903</v>
      </c>
      <c r="B5466" s="84" t="s">
        <v>131</v>
      </c>
      <c r="C5466" s="160" t="s">
        <v>1904</v>
      </c>
      <c r="D5466" s="84" t="s">
        <v>167</v>
      </c>
      <c r="E5466" s="85" t="s">
        <v>1905</v>
      </c>
      <c r="F5466" s="86" t="s">
        <v>1906</v>
      </c>
      <c r="G5466" s="86" t="s">
        <v>1907</v>
      </c>
    </row>
    <row r="5467" spans="1:11">
      <c r="A5467" s="87" t="s">
        <v>2</v>
      </c>
      <c r="B5467" s="87">
        <v>34618</v>
      </c>
      <c r="C5467" s="278" t="s">
        <v>2265</v>
      </c>
      <c r="D5467" s="89" t="s">
        <v>1401</v>
      </c>
      <c r="E5467" s="88">
        <v>1.2434000000000001</v>
      </c>
      <c r="F5467" s="89">
        <v>4.7</v>
      </c>
      <c r="G5467" s="89">
        <f>IF(D5467="","",E5467*F5467)</f>
        <v>5.8439800000000002</v>
      </c>
    </row>
    <row r="5468" spans="1:11" ht="24">
      <c r="A5468" s="87" t="s">
        <v>2</v>
      </c>
      <c r="B5468" s="87">
        <v>21127</v>
      </c>
      <c r="C5468" s="278" t="s">
        <v>2264</v>
      </c>
      <c r="D5468" s="89" t="s">
        <v>1932</v>
      </c>
      <c r="E5468" s="88">
        <f>0.0094*3</f>
        <v>2.8200000000000003E-2</v>
      </c>
      <c r="F5468" s="89">
        <v>3.46</v>
      </c>
      <c r="G5468" s="89">
        <f>IF(D5468="","",E5468*F5468)</f>
        <v>9.7572000000000006E-2</v>
      </c>
    </row>
    <row r="5469" spans="1:11">
      <c r="A5469" s="832" t="s">
        <v>1908</v>
      </c>
      <c r="B5469" s="833"/>
      <c r="C5469" s="833"/>
      <c r="D5469" s="833"/>
      <c r="E5469" s="833"/>
      <c r="F5469" s="834"/>
      <c r="G5469" s="90">
        <f>IF(F5467="","",(SUM(G5467:G5468)))</f>
        <v>5.9415520000000006</v>
      </c>
    </row>
    <row r="5470" spans="1:11">
      <c r="A5470" s="91"/>
      <c r="B5470" s="92"/>
      <c r="C5470" s="161"/>
      <c r="D5470" s="93"/>
      <c r="E5470" s="94"/>
      <c r="F5470" s="95"/>
      <c r="G5470" s="96"/>
    </row>
    <row r="5471" spans="1:11">
      <c r="A5471" s="835" t="s">
        <v>1909</v>
      </c>
      <c r="B5471" s="836"/>
      <c r="C5471" s="836"/>
      <c r="D5471" s="836"/>
      <c r="E5471" s="836"/>
      <c r="F5471" s="836"/>
      <c r="G5471" s="837"/>
    </row>
    <row r="5472" spans="1:11">
      <c r="A5472" s="84" t="s">
        <v>1903</v>
      </c>
      <c r="B5472" s="84" t="s">
        <v>131</v>
      </c>
      <c r="C5472" s="160" t="s">
        <v>1904</v>
      </c>
      <c r="D5472" s="84" t="s">
        <v>167</v>
      </c>
      <c r="E5472" s="85" t="s">
        <v>1905</v>
      </c>
      <c r="F5472" s="86" t="s">
        <v>1906</v>
      </c>
      <c r="G5472" s="86" t="s">
        <v>1907</v>
      </c>
    </row>
    <row r="5473" spans="1:11">
      <c r="A5473" s="87" t="s">
        <v>2</v>
      </c>
      <c r="B5473" s="87">
        <v>88264</v>
      </c>
      <c r="C5473" s="278" t="s">
        <v>1910</v>
      </c>
      <c r="D5473" s="89" t="s">
        <v>137</v>
      </c>
      <c r="E5473" s="88">
        <f>0.023*3</f>
        <v>6.9000000000000006E-2</v>
      </c>
      <c r="F5473" s="89">
        <v>10.95</v>
      </c>
      <c r="G5473" s="89">
        <f>IF(D5473="","",E5473*F5473)</f>
        <v>0.75555000000000005</v>
      </c>
    </row>
    <row r="5474" spans="1:11" ht="24">
      <c r="A5474" s="87" t="s">
        <v>2</v>
      </c>
      <c r="B5474" s="87">
        <v>88247</v>
      </c>
      <c r="C5474" s="473" t="s">
        <v>1911</v>
      </c>
      <c r="D5474" s="89" t="s">
        <v>137</v>
      </c>
      <c r="E5474" s="88">
        <f>0.023*3</f>
        <v>6.9000000000000006E-2</v>
      </c>
      <c r="F5474" s="89">
        <v>9.02</v>
      </c>
      <c r="G5474" s="89">
        <f>IF(D5474="","",E5474*F5474)</f>
        <v>0.62238000000000004</v>
      </c>
    </row>
    <row r="5475" spans="1:11">
      <c r="A5475" s="832" t="s">
        <v>1908</v>
      </c>
      <c r="B5475" s="833"/>
      <c r="C5475" s="833"/>
      <c r="D5475" s="833"/>
      <c r="E5475" s="833"/>
      <c r="F5475" s="834"/>
      <c r="G5475" s="90">
        <f>IF(F5473="","",(SUM(G5473:G5474)))</f>
        <v>1.3779300000000001</v>
      </c>
    </row>
    <row r="5476" spans="1:11">
      <c r="A5476" s="91"/>
      <c r="B5476" s="92"/>
      <c r="C5476" s="162"/>
      <c r="D5476" s="92"/>
      <c r="E5476" s="97"/>
      <c r="F5476" s="98"/>
      <c r="G5476" s="96"/>
    </row>
    <row r="5477" spans="1:11">
      <c r="A5477" s="835" t="s">
        <v>1912</v>
      </c>
      <c r="B5477" s="836"/>
      <c r="C5477" s="836"/>
      <c r="D5477" s="836"/>
      <c r="E5477" s="836"/>
      <c r="F5477" s="836"/>
      <c r="G5477" s="837"/>
    </row>
    <row r="5478" spans="1:11">
      <c r="A5478" s="84" t="s">
        <v>1903</v>
      </c>
      <c r="B5478" s="84" t="s">
        <v>131</v>
      </c>
      <c r="C5478" s="160" t="s">
        <v>1904</v>
      </c>
      <c r="D5478" s="84" t="s">
        <v>167</v>
      </c>
      <c r="E5478" s="85" t="s">
        <v>1905</v>
      </c>
      <c r="F5478" s="86" t="s">
        <v>1906</v>
      </c>
      <c r="G5478" s="86" t="s">
        <v>1907</v>
      </c>
    </row>
    <row r="5479" spans="1:11">
      <c r="A5479" s="87"/>
      <c r="B5479" s="87"/>
      <c r="C5479" s="278" t="str">
        <f>IF(B5479="","",IF($A$8="NÃO DESONERADO",(IF(A5479="SINAPI",VLOOKUP(B5479,#REF!,2,0),IF(A5479="SUDECAP",VLOOKUP(B5479,#REF!,3,0),IF(A5479="SETOP",VLOOKUP(B5479,#REF!,2,0),IF(A5479="COTAÇÃO",VLOOKUP(B5479,'Mapa Cotações'!$A:$N,2,0)))))),(IF(A5479="SINAPI",VLOOKUP(B5479,#REF!,2,0),IF(A5479="SUDECAP",VLOOKUP(B5479,#REF!,3,0),IF(A5479="SETOP",VLOOKUP(B5479,#REF!,2,0),IF(A5479="COTAÇÃO",VLOOKUP(B5479,'Mapa Cotações'!$A:$N,2,0))))))))</f>
        <v/>
      </c>
      <c r="D5479" s="89" t="str">
        <f>IF(B5479="","",IF($A$8="NÃO DESONERADO",(IF(A5479="SINAPI",VLOOKUP(B5479,#REF!,3,0),IF(A5479="SUDECAP",VLOOKUP(B5479,#REF!,4,0),IF(A5479="SETOP",VLOOKUP(B5479,#REF!,3,0),IF(A5479="COTAÇÃO",VLOOKUP(B5479,'Mapa Cotações'!$A:$N,3,0)))))),(IF(A5479="SINAPI",VLOOKUP(B5479,#REF!,3,0),IF(A5479="SUDECAP",VLOOKUP(B5479,#REF!,4,0),IF(A5479="SETOP",VLOOKUP(B5479,#REF!,3,0),IF(A5479="COTAÇÃO",VLOOKUP(B5479,'Mapa Cotações'!$A:$N,3,0))))))))</f>
        <v/>
      </c>
      <c r="E5479" s="88"/>
      <c r="F5479" s="89" t="str">
        <f>IF(B5479="","",IF($A$8="NÃO DESONERADO",(IF(A5479="SINAPI",VLOOKUP(B5479,#REF!,4,0),IF(A5479="SUDECAP",VLOOKUP(B5479,#REF!,5,0),IF(A5479="SETOP",VLOOKUP(B5479,#REF!,4,0),IF(A5479="COTAÇÃO",VLOOKUP(B5479,'Mapa Cotações'!$A:$N,13,0)))))),(IF(A5479="SINAPI",VLOOKUP(B5479,#REF!,4,0),IF(A5479="SUDECAP",VLOOKUP(B5479,#REF!,5,0),IF(A5479="SETOP",VLOOKUP(B5479,#REF!,4,0),IF(A5479="COTAÇÃO",VLOOKUP(B5479,'Mapa Cotações'!$A:$N,13,0))))))))</f>
        <v/>
      </c>
      <c r="G5479" s="89" t="str">
        <f>IF(D5479="","",E5479*F5479)</f>
        <v/>
      </c>
    </row>
    <row r="5480" spans="1:11">
      <c r="A5480" s="87"/>
      <c r="B5480" s="87"/>
      <c r="C5480" s="278" t="str">
        <f>IF(B5480="","",IF($A$8="NÃO DESONERADO",(IF(A5480="SINAPI",VLOOKUP(B5480,#REF!,2,0),IF(A5480="SUDECAP",VLOOKUP(B5480,#REF!,3,0),IF(A5480="SETOP",VLOOKUP(B5480,#REF!,2,0),IF(A5480="COTAÇÃO",VLOOKUP(B5480,'Mapa Cotações'!$A:$N,2,0)))))),(IF(A5480="SINAPI",VLOOKUP(B5480,#REF!,2,0),IF(A5480="SUDECAP",VLOOKUP(B5480,#REF!,3,0),IF(A5480="SETOP",VLOOKUP(B5480,#REF!,2,0),IF(A5480="COTAÇÃO",VLOOKUP(B5480,'Mapa Cotações'!$A:$N,2,0))))))))</f>
        <v/>
      </c>
      <c r="D5480" s="89" t="str">
        <f>IF(B5480="","",IF($A$8="NÃO DESONERADO",(IF(A5480="SINAPI",VLOOKUP(B5480,#REF!,3,0),IF(A5480="SUDECAP",VLOOKUP(B5480,#REF!,4,0),IF(A5480="SETOP",VLOOKUP(B5480,#REF!,3,0),IF(A5480="COTAÇÃO",VLOOKUP(B5480,'Mapa Cotações'!$A:$N,3,0)))))),(IF(A5480="SINAPI",VLOOKUP(B5480,#REF!,3,0),IF(A5480="SUDECAP",VLOOKUP(B5480,#REF!,4,0),IF(A5480="SETOP",VLOOKUP(B5480,#REF!,3,0),IF(A5480="COTAÇÃO",VLOOKUP(B5480,'Mapa Cotações'!$A:$N,3,0))))))))</f>
        <v/>
      </c>
      <c r="E5480" s="88"/>
      <c r="F5480" s="89" t="str">
        <f>IF(B5480="","",IF($A$8="NÃO DESONERADO",(IF(A5480="SINAPI",VLOOKUP(B5480,#REF!,4,0),IF(A5480="SUDECAP",VLOOKUP(B5480,#REF!,5,0),IF(A5480="SETOP",VLOOKUP(B5480,#REF!,4,0),IF(A5480="COTAÇÃO",VLOOKUP(B5480,'Mapa Cotações'!$A:$N,13,0)))))),(IF(A5480="SINAPI",VLOOKUP(B5480,#REF!,4,0),IF(A5480="SUDECAP",VLOOKUP(B5480,#REF!,5,0),IF(A5480="SETOP",VLOOKUP(B5480,#REF!,4,0),IF(A5480="COTAÇÃO",VLOOKUP(B5480,'Mapa Cotações'!$A:$N,13,0))))))))</f>
        <v/>
      </c>
      <c r="G5480" s="89" t="str">
        <f>IF(D5480="","",E5480*F5480)</f>
        <v/>
      </c>
    </row>
    <row r="5481" spans="1:11">
      <c r="A5481" s="832" t="s">
        <v>1908</v>
      </c>
      <c r="B5481" s="833" t="s">
        <v>1908</v>
      </c>
      <c r="C5481" s="833"/>
      <c r="D5481" s="833"/>
      <c r="E5481" s="833"/>
      <c r="F5481" s="834"/>
      <c r="G5481" s="90" t="str">
        <f>IF(F5479="","",(SUM(G5479:G5480)))</f>
        <v/>
      </c>
    </row>
    <row r="5482" spans="1:11" ht="13.5" thickBot="1">
      <c r="A5482" s="91"/>
      <c r="B5482" s="92"/>
      <c r="C5482" s="163"/>
      <c r="D5482" s="99"/>
      <c r="E5482" s="100"/>
      <c r="F5482" s="101"/>
      <c r="G5482" s="102"/>
    </row>
    <row r="5483" spans="1:11" ht="13.5" thickBot="1">
      <c r="A5483" s="838" t="s">
        <v>1259</v>
      </c>
      <c r="B5483" s="839"/>
      <c r="C5483" s="839"/>
      <c r="D5483" s="839"/>
      <c r="E5483" s="839"/>
      <c r="F5483" s="840"/>
      <c r="G5483" s="103">
        <f>SUM(G5469,G5475,G5481)</f>
        <v>7.3194820000000007</v>
      </c>
    </row>
    <row r="5486" spans="1:11">
      <c r="A5486" s="237" t="s">
        <v>131</v>
      </c>
      <c r="B5486" s="190" t="s">
        <v>27</v>
      </c>
      <c r="C5486" s="841" t="s">
        <v>1281</v>
      </c>
      <c r="D5486" s="841"/>
      <c r="E5486" s="841"/>
      <c r="F5486" s="841"/>
      <c r="G5486" s="81" t="s">
        <v>127</v>
      </c>
      <c r="I5486" s="480" t="s">
        <v>1901</v>
      </c>
      <c r="J5486" s="80"/>
      <c r="K5486" s="80"/>
    </row>
    <row r="5487" spans="1:11" ht="50.1" customHeight="1">
      <c r="A5487" s="179" t="s">
        <v>1243</v>
      </c>
      <c r="B5487" s="82"/>
      <c r="C5487" s="830" t="s">
        <v>1244</v>
      </c>
      <c r="D5487" s="831"/>
      <c r="E5487" s="831"/>
      <c r="F5487" s="186">
        <f>G5506</f>
        <v>23.880205499999999</v>
      </c>
      <c r="G5487" s="83"/>
      <c r="I5487" s="481"/>
      <c r="J5487" s="272"/>
      <c r="K5487" s="272"/>
    </row>
    <row r="5488" spans="1:11">
      <c r="A5488" s="818" t="s">
        <v>1902</v>
      </c>
      <c r="B5488" s="819"/>
      <c r="C5488" s="819"/>
      <c r="D5488" s="819"/>
      <c r="E5488" s="819"/>
      <c r="F5488" s="819"/>
      <c r="G5488" s="820"/>
    </row>
    <row r="5489" spans="1:7">
      <c r="A5489" s="84" t="s">
        <v>1903</v>
      </c>
      <c r="B5489" s="84" t="s">
        <v>131</v>
      </c>
      <c r="C5489" s="160" t="s">
        <v>1904</v>
      </c>
      <c r="D5489" s="84" t="s">
        <v>167</v>
      </c>
      <c r="E5489" s="85" t="s">
        <v>1905</v>
      </c>
      <c r="F5489" s="86" t="s">
        <v>1906</v>
      </c>
      <c r="G5489" s="86" t="s">
        <v>1907</v>
      </c>
    </row>
    <row r="5490" spans="1:7" ht="24">
      <c r="A5490" s="87" t="s">
        <v>2</v>
      </c>
      <c r="B5490" s="87">
        <v>1599</v>
      </c>
      <c r="C5490" s="278" t="s">
        <v>2266</v>
      </c>
      <c r="D5490" s="89" t="s">
        <v>1932</v>
      </c>
      <c r="E5490" s="88">
        <v>1</v>
      </c>
      <c r="F5490" s="89">
        <v>22.02</v>
      </c>
      <c r="G5490" s="89">
        <f>IF(D5490="","",E5490*F5490)</f>
        <v>22.02</v>
      </c>
    </row>
    <row r="5491" spans="1:7">
      <c r="A5491" s="87"/>
      <c r="B5491" s="87"/>
      <c r="C5491" s="278" t="str">
        <f>IF(B5491="","",IF($A$8="NÃO DESONERADO",(IF(A5491="SINAPI",VLOOKUP(B5491,#REF!,2,0),IF(A5491="SUDECAP",VLOOKUP(B5491,#REF!,3,0),IF(A5491="SETOP",VLOOKUP(B5491,#REF!,2,0),IF(A5491="COTAÇÃO",VLOOKUP(B5491,'Mapa Cotações'!$A:$N,2,0)))))),(IF(A5491="SINAPI",VLOOKUP(B5491,#REF!,2,0),IF(A5491="SUDECAP",VLOOKUP(B5491,#REF!,3,0),IF(A5491="SETOP",VLOOKUP(B5491,#REF!,2,0),IF(A5491="COTAÇÃO",VLOOKUP(B5491,'Mapa Cotações'!$A:$N,2,0))))))))</f>
        <v/>
      </c>
      <c r="D5491" s="89" t="str">
        <f>IF(B5491="","",IF($A$8="NÃO DESONERADO",(IF(A5491="SINAPI",VLOOKUP(B5491,#REF!,3,0),IF(A5491="SUDECAP",VLOOKUP(B5491,#REF!,4,0),IF(A5491="SETOP",VLOOKUP(B5491,#REF!,3,0),IF(A5491="COTAÇÃO",VLOOKUP(B5491,'Mapa Cotações'!$A:$N,3,0)))))),(IF(A5491="SINAPI",VLOOKUP(B5491,#REF!,3,0),IF(A5491="SUDECAP",VLOOKUP(B5491,#REF!,4,0),IF(A5491="SETOP",VLOOKUP(B5491,#REF!,3,0),IF(A5491="COTAÇÃO",VLOOKUP(B5491,'Mapa Cotações'!$A:$N,3,0))))))))</f>
        <v/>
      </c>
      <c r="E5491" s="88"/>
      <c r="F5491" s="89" t="str">
        <f>IF(B5491="","",IF($A$8="NÃO DESONERADO",(IF(A5491="SINAPI",VLOOKUP(B5491,#REF!,4,0),IF(A5491="SUDECAP",VLOOKUP(B5491,#REF!,5,0),IF(A5491="SETOP",VLOOKUP(B5491,#REF!,4,0),IF(A5491="COTAÇÃO",VLOOKUP(B5491,'Mapa Cotações'!$A:$N,13,0)))))),(IF(A5491="SINAPI",VLOOKUP(B5491,#REF!,4,0),IF(A5491="SUDECAP",VLOOKUP(B5491,#REF!,5,0),IF(A5491="SETOP",VLOOKUP(B5491,#REF!,4,0),IF(A5491="COTAÇÃO",VLOOKUP(B5491,'Mapa Cotações'!$A:$N,13,0))))))))</f>
        <v/>
      </c>
      <c r="G5491" s="89" t="str">
        <f>IF(D5491="","",E5491*F5491)</f>
        <v/>
      </c>
    </row>
    <row r="5492" spans="1:7">
      <c r="A5492" s="832" t="s">
        <v>1908</v>
      </c>
      <c r="B5492" s="833"/>
      <c r="C5492" s="833"/>
      <c r="D5492" s="833"/>
      <c r="E5492" s="833"/>
      <c r="F5492" s="834"/>
      <c r="G5492" s="90">
        <f>IF(F5490="","",(SUM(G5490:G5491)))</f>
        <v>22.02</v>
      </c>
    </row>
    <row r="5493" spans="1:7">
      <c r="A5493" s="91"/>
      <c r="B5493" s="92"/>
      <c r="C5493" s="161"/>
      <c r="D5493" s="93"/>
      <c r="E5493" s="94"/>
      <c r="F5493" s="95"/>
      <c r="G5493" s="96"/>
    </row>
    <row r="5494" spans="1:7">
      <c r="A5494" s="835" t="s">
        <v>1909</v>
      </c>
      <c r="B5494" s="836"/>
      <c r="C5494" s="836"/>
      <c r="D5494" s="836"/>
      <c r="E5494" s="836"/>
      <c r="F5494" s="836"/>
      <c r="G5494" s="837"/>
    </row>
    <row r="5495" spans="1:7">
      <c r="A5495" s="84" t="s">
        <v>1903</v>
      </c>
      <c r="B5495" s="84" t="s">
        <v>131</v>
      </c>
      <c r="C5495" s="160" t="s">
        <v>1904</v>
      </c>
      <c r="D5495" s="84" t="s">
        <v>167</v>
      </c>
      <c r="E5495" s="85" t="s">
        <v>1905</v>
      </c>
      <c r="F5495" s="86" t="s">
        <v>1906</v>
      </c>
      <c r="G5495" s="86" t="s">
        <v>1907</v>
      </c>
    </row>
    <row r="5496" spans="1:7">
      <c r="A5496" s="87" t="s">
        <v>2</v>
      </c>
      <c r="B5496" s="87">
        <v>88264</v>
      </c>
      <c r="C5496" s="278" t="s">
        <v>1910</v>
      </c>
      <c r="D5496" s="89" t="s">
        <v>137</v>
      </c>
      <c r="E5496" s="88">
        <f>0.1863/2</f>
        <v>9.3149999999999997E-2</v>
      </c>
      <c r="F5496" s="89">
        <v>10.95</v>
      </c>
      <c r="G5496" s="89">
        <f>IF(D5496="","",E5496*F5496)</f>
        <v>1.0199924999999999</v>
      </c>
    </row>
    <row r="5497" spans="1:7" ht="24">
      <c r="A5497" s="87" t="s">
        <v>2</v>
      </c>
      <c r="B5497" s="87">
        <v>88247</v>
      </c>
      <c r="C5497" s="473" t="s">
        <v>1911</v>
      </c>
      <c r="D5497" s="89" t="s">
        <v>137</v>
      </c>
      <c r="E5497" s="88">
        <f>0.1863/2</f>
        <v>9.3149999999999997E-2</v>
      </c>
      <c r="F5497" s="89">
        <v>9.02</v>
      </c>
      <c r="G5497" s="89">
        <f>IF(D5497="","",E5497*F5497)</f>
        <v>0.84021299999999988</v>
      </c>
    </row>
    <row r="5498" spans="1:7">
      <c r="A5498" s="832" t="s">
        <v>1908</v>
      </c>
      <c r="B5498" s="833"/>
      <c r="C5498" s="833"/>
      <c r="D5498" s="833"/>
      <c r="E5498" s="833"/>
      <c r="F5498" s="834"/>
      <c r="G5498" s="90">
        <f>IF(F5496="","",(SUM(G5496:G5497)))</f>
        <v>1.8602054999999997</v>
      </c>
    </row>
    <row r="5499" spans="1:7">
      <c r="A5499" s="91"/>
      <c r="B5499" s="92"/>
      <c r="C5499" s="162"/>
      <c r="D5499" s="92"/>
      <c r="E5499" s="97"/>
      <c r="F5499" s="98"/>
      <c r="G5499" s="96"/>
    </row>
    <row r="5500" spans="1:7">
      <c r="A5500" s="835" t="s">
        <v>1912</v>
      </c>
      <c r="B5500" s="836"/>
      <c r="C5500" s="836"/>
      <c r="D5500" s="836"/>
      <c r="E5500" s="836"/>
      <c r="F5500" s="836"/>
      <c r="G5500" s="837"/>
    </row>
    <row r="5501" spans="1:7">
      <c r="A5501" s="84" t="s">
        <v>1903</v>
      </c>
      <c r="B5501" s="84" t="s">
        <v>131</v>
      </c>
      <c r="C5501" s="160" t="s">
        <v>1904</v>
      </c>
      <c r="D5501" s="84" t="s">
        <v>167</v>
      </c>
      <c r="E5501" s="85" t="s">
        <v>1905</v>
      </c>
      <c r="F5501" s="86" t="s">
        <v>1906</v>
      </c>
      <c r="G5501" s="86" t="s">
        <v>1907</v>
      </c>
    </row>
    <row r="5502" spans="1:7">
      <c r="A5502" s="87"/>
      <c r="B5502" s="87"/>
      <c r="C5502" s="278" t="str">
        <f>IF(B5502="","",IF($A$8="NÃO DESONERADO",(IF(A5502="SINAPI",VLOOKUP(B5502,#REF!,2,0),IF(A5502="SUDECAP",VLOOKUP(B5502,#REF!,3,0),IF(A5502="SETOP",VLOOKUP(B5502,#REF!,2,0),IF(A5502="COTAÇÃO",VLOOKUP(B5502,'Mapa Cotações'!$A:$N,2,0)))))),(IF(A5502="SINAPI",VLOOKUP(B5502,#REF!,2,0),IF(A5502="SUDECAP",VLOOKUP(B5502,#REF!,3,0),IF(A5502="SETOP",VLOOKUP(B5502,#REF!,2,0),IF(A5502="COTAÇÃO",VLOOKUP(B5502,'Mapa Cotações'!$A:$N,2,0))))))))</f>
        <v/>
      </c>
      <c r="D5502" s="89" t="str">
        <f>IF(B5502="","",IF($A$8="NÃO DESONERADO",(IF(A5502="SINAPI",VLOOKUP(B5502,#REF!,3,0),IF(A5502="SUDECAP",VLOOKUP(B5502,#REF!,4,0),IF(A5502="SETOP",VLOOKUP(B5502,#REF!,3,0),IF(A5502="COTAÇÃO",VLOOKUP(B5502,'Mapa Cotações'!$A:$N,3,0)))))),(IF(A5502="SINAPI",VLOOKUP(B5502,#REF!,3,0),IF(A5502="SUDECAP",VLOOKUP(B5502,#REF!,4,0),IF(A5502="SETOP",VLOOKUP(B5502,#REF!,3,0),IF(A5502="COTAÇÃO",VLOOKUP(B5502,'Mapa Cotações'!$A:$N,3,0))))))))</f>
        <v/>
      </c>
      <c r="E5502" s="88"/>
      <c r="F5502" s="89" t="str">
        <f>IF(B5502="","",IF($A$8="NÃO DESONERADO",(IF(A5502="SINAPI",VLOOKUP(B5502,#REF!,4,0),IF(A5502="SUDECAP",VLOOKUP(B5502,#REF!,5,0),IF(A5502="SETOP",VLOOKUP(B5502,#REF!,4,0),IF(A5502="COTAÇÃO",VLOOKUP(B5502,'Mapa Cotações'!$A:$N,13,0)))))),(IF(A5502="SINAPI",VLOOKUP(B5502,#REF!,4,0),IF(A5502="SUDECAP",VLOOKUP(B5502,#REF!,5,0),IF(A5502="SETOP",VLOOKUP(B5502,#REF!,4,0),IF(A5502="COTAÇÃO",VLOOKUP(B5502,'Mapa Cotações'!$A:$N,13,0))))))))</f>
        <v/>
      </c>
      <c r="G5502" s="89" t="str">
        <f>IF(D5502="","",E5502*F5502)</f>
        <v/>
      </c>
    </row>
    <row r="5503" spans="1:7">
      <c r="A5503" s="87"/>
      <c r="B5503" s="87"/>
      <c r="C5503" s="278" t="str">
        <f>IF(B5503="","",IF($A$8="NÃO DESONERADO",(IF(A5503="SINAPI",VLOOKUP(B5503,#REF!,2,0),IF(A5503="SUDECAP",VLOOKUP(B5503,#REF!,3,0),IF(A5503="SETOP",VLOOKUP(B5503,#REF!,2,0),IF(A5503="COTAÇÃO",VLOOKUP(B5503,'Mapa Cotações'!$A:$N,2,0)))))),(IF(A5503="SINAPI",VLOOKUP(B5503,#REF!,2,0),IF(A5503="SUDECAP",VLOOKUP(B5503,#REF!,3,0),IF(A5503="SETOP",VLOOKUP(B5503,#REF!,2,0),IF(A5503="COTAÇÃO",VLOOKUP(B5503,'Mapa Cotações'!$A:$N,2,0))))))))</f>
        <v/>
      </c>
      <c r="D5503" s="89" t="str">
        <f>IF(B5503="","",IF($A$8="NÃO DESONERADO",(IF(A5503="SINAPI",VLOOKUP(B5503,#REF!,3,0),IF(A5503="SUDECAP",VLOOKUP(B5503,#REF!,4,0),IF(A5503="SETOP",VLOOKUP(B5503,#REF!,3,0),IF(A5503="COTAÇÃO",VLOOKUP(B5503,'Mapa Cotações'!$A:$N,3,0)))))),(IF(A5503="SINAPI",VLOOKUP(B5503,#REF!,3,0),IF(A5503="SUDECAP",VLOOKUP(B5503,#REF!,4,0),IF(A5503="SETOP",VLOOKUP(B5503,#REF!,3,0),IF(A5503="COTAÇÃO",VLOOKUP(B5503,'Mapa Cotações'!$A:$N,3,0))))))))</f>
        <v/>
      </c>
      <c r="E5503" s="88"/>
      <c r="F5503" s="89" t="str">
        <f>IF(B5503="","",IF($A$8="NÃO DESONERADO",(IF(A5503="SINAPI",VLOOKUP(B5503,#REF!,4,0),IF(A5503="SUDECAP",VLOOKUP(B5503,#REF!,5,0),IF(A5503="SETOP",VLOOKUP(B5503,#REF!,4,0),IF(A5503="COTAÇÃO",VLOOKUP(B5503,'Mapa Cotações'!$A:$N,13,0)))))),(IF(A5503="SINAPI",VLOOKUP(B5503,#REF!,4,0),IF(A5503="SUDECAP",VLOOKUP(B5503,#REF!,5,0),IF(A5503="SETOP",VLOOKUP(B5503,#REF!,4,0),IF(A5503="COTAÇÃO",VLOOKUP(B5503,'Mapa Cotações'!$A:$N,13,0))))))))</f>
        <v/>
      </c>
      <c r="G5503" s="89" t="str">
        <f>IF(D5503="","",E5503*F5503)</f>
        <v/>
      </c>
    </row>
    <row r="5504" spans="1:7">
      <c r="A5504" s="832" t="s">
        <v>1908</v>
      </c>
      <c r="B5504" s="833" t="s">
        <v>1908</v>
      </c>
      <c r="C5504" s="833"/>
      <c r="D5504" s="833"/>
      <c r="E5504" s="833"/>
      <c r="F5504" s="834"/>
      <c r="G5504" s="90" t="str">
        <f>IF(F5502="","",(SUM(G5502:G5503)))</f>
        <v/>
      </c>
    </row>
    <row r="5505" spans="1:11" ht="13.5" thickBot="1">
      <c r="A5505" s="91"/>
      <c r="B5505" s="92"/>
      <c r="C5505" s="163"/>
      <c r="D5505" s="99"/>
      <c r="E5505" s="100"/>
      <c r="F5505" s="101"/>
      <c r="G5505" s="102"/>
    </row>
    <row r="5506" spans="1:11" ht="13.5" thickBot="1">
      <c r="A5506" s="838" t="s">
        <v>1259</v>
      </c>
      <c r="B5506" s="839"/>
      <c r="C5506" s="839"/>
      <c r="D5506" s="839"/>
      <c r="E5506" s="839"/>
      <c r="F5506" s="840"/>
      <c r="G5506" s="103">
        <f>SUM(G5492,G5498,G5504)</f>
        <v>23.880205499999999</v>
      </c>
    </row>
    <row r="5509" spans="1:11">
      <c r="A5509" s="237" t="s">
        <v>131</v>
      </c>
      <c r="B5509" s="190" t="s">
        <v>27</v>
      </c>
      <c r="C5509" s="855" t="s">
        <v>1281</v>
      </c>
      <c r="D5509" s="856"/>
      <c r="E5509" s="856"/>
      <c r="F5509" s="857"/>
      <c r="G5509" s="81" t="s">
        <v>127</v>
      </c>
      <c r="I5509" s="480" t="s">
        <v>1901</v>
      </c>
      <c r="J5509" s="80"/>
      <c r="K5509" s="80"/>
    </row>
    <row r="5510" spans="1:11" ht="50.1" customHeight="1">
      <c r="A5510" s="179" t="s">
        <v>239</v>
      </c>
      <c r="B5510" s="82"/>
      <c r="C5510" s="830" t="s">
        <v>1686</v>
      </c>
      <c r="D5510" s="831"/>
      <c r="E5510" s="831"/>
      <c r="F5510" s="186">
        <f>G5530</f>
        <v>1918.3981818181819</v>
      </c>
      <c r="G5510" s="83" t="s">
        <v>167</v>
      </c>
      <c r="I5510" s="481"/>
      <c r="J5510" s="272"/>
      <c r="K5510" s="272"/>
    </row>
    <row r="5511" spans="1:11">
      <c r="A5511" s="835" t="s">
        <v>1902</v>
      </c>
      <c r="B5511" s="836"/>
      <c r="C5511" s="836"/>
      <c r="D5511" s="836"/>
      <c r="E5511" s="836"/>
      <c r="F5511" s="836"/>
      <c r="G5511" s="837"/>
    </row>
    <row r="5512" spans="1:11">
      <c r="A5512" s="84" t="s">
        <v>1903</v>
      </c>
      <c r="B5512" s="84" t="s">
        <v>131</v>
      </c>
      <c r="C5512" s="160" t="s">
        <v>1904</v>
      </c>
      <c r="D5512" s="84" t="s">
        <v>167</v>
      </c>
      <c r="E5512" s="85" t="s">
        <v>1905</v>
      </c>
      <c r="F5512" s="86" t="s">
        <v>1906</v>
      </c>
      <c r="G5512" s="86" t="s">
        <v>1907</v>
      </c>
    </row>
    <row r="5513" spans="1:11">
      <c r="A5513" s="87"/>
      <c r="B5513" s="87"/>
      <c r="C5513" s="278" t="str">
        <f>IF(B5513="","",IF($A$8="NÃO DESONERADO",(IF(A5513="SINAPI",VLOOKUP(B5513,#REF!,2,0),IF(A5513="SUDECAP",VLOOKUP(B5513,#REF!,3,0),IF(A5513="SETOP",VLOOKUP(B5513,#REF!,2,0),IF(A5513="COTAÇÃO",VLOOKUP(B5513,'Mapa Cotações'!$A:$N,2,0)))))),(IF(A5513="SINAPI",VLOOKUP(B5513,#REF!,2,0),IF(A5513="SUDECAP",VLOOKUP(B5513,#REF!,3,0),IF(A5513="SETOP",VLOOKUP(B5513,#REF!,2,0),IF(A5513="COTAÇÃO",VLOOKUP(B5513,'Mapa Cotações'!$A:$N,2,0))))))))</f>
        <v/>
      </c>
      <c r="D5513" s="89" t="str">
        <f>IF(B5513="","",IF($A$8="NÃO DESONERADO",(IF(A5513="SINAPI",VLOOKUP(B5513,#REF!,3,0),IF(A5513="SUDECAP",VLOOKUP(B5513,#REF!,4,0),IF(A5513="SETOP",VLOOKUP(B5513,#REF!,3,0),IF(A5513="COTAÇÃO",VLOOKUP(B5513,'Mapa Cotações'!$A:$N,3,0)))))),(IF(A5513="SINAPI",VLOOKUP(B5513,#REF!,3,0),IF(A5513="SUDECAP",VLOOKUP(B5513,#REF!,4,0),IF(A5513="SETOP",VLOOKUP(B5513,#REF!,3,0),IF(A5513="COTAÇÃO",VLOOKUP(B5513,'Mapa Cotações'!$A:$N,3,0))))))))</f>
        <v/>
      </c>
      <c r="E5513" s="88"/>
      <c r="F5513" s="89" t="str">
        <f>IF(B5513="","",IF($A$8="NÃO DESONERADO",(IF(A5513="SINAPI",VLOOKUP(B5513,#REF!,4,0),IF(A5513="SUDECAP",VLOOKUP(B5513,#REF!,5,0),IF(A5513="SETOP",VLOOKUP(B5513,#REF!,4,0),IF(A5513="COTAÇÃO",VLOOKUP(B5513,'Mapa Cotações'!$A:$N,13,0)))))),(IF(A5513="SINAPI",VLOOKUP(B5513,#REF!,4,0),IF(A5513="SUDECAP",VLOOKUP(B5513,#REF!,5,0),IF(A5513="SETOP",VLOOKUP(B5513,#REF!,4,0),IF(A5513="COTAÇÃO",VLOOKUP(B5513,'Mapa Cotações'!$A:$N,13,0))))))))</f>
        <v/>
      </c>
      <c r="G5513" s="89" t="str">
        <f>IF(D5513="","",E5513*F5513)</f>
        <v/>
      </c>
    </row>
    <row r="5514" spans="1:11">
      <c r="A5514" s="87"/>
      <c r="B5514" s="87"/>
      <c r="C5514" s="278" t="str">
        <f>IF(B5514="","",IF($A$8="NÃO DESONERADO",(IF(A5514="SINAPI",VLOOKUP(B5514,#REF!,2,0),IF(A5514="SUDECAP",VLOOKUP(B5514,#REF!,3,0),IF(A5514="SETOP",VLOOKUP(B5514,#REF!,2,0),IF(A5514="COTAÇÃO",VLOOKUP(B5514,'Mapa Cotações'!$A:$N,2,0)))))),(IF(A5514="SINAPI",VLOOKUP(B5514,#REF!,2,0),IF(A5514="SUDECAP",VLOOKUP(B5514,#REF!,3,0),IF(A5514="SETOP",VLOOKUP(B5514,#REF!,2,0),IF(A5514="COTAÇÃO",VLOOKUP(B5514,'Mapa Cotações'!$A:$N,2,0))))))))</f>
        <v/>
      </c>
      <c r="D5514" s="89" t="str">
        <f>IF(B5514="","",IF($A$8="NÃO DESONERADO",(IF(A5514="SINAPI",VLOOKUP(B5514,#REF!,3,0),IF(A5514="SUDECAP",VLOOKUP(B5514,#REF!,4,0),IF(A5514="SETOP",VLOOKUP(B5514,#REF!,3,0),IF(A5514="COTAÇÃO",VLOOKUP(B5514,'Mapa Cotações'!$A:$N,3,0)))))),(IF(A5514="SINAPI",VLOOKUP(B5514,#REF!,3,0),IF(A5514="SUDECAP",VLOOKUP(B5514,#REF!,4,0),IF(A5514="SETOP",VLOOKUP(B5514,#REF!,3,0),IF(A5514="COTAÇÃO",VLOOKUP(B5514,'Mapa Cotações'!$A:$N,3,0))))))))</f>
        <v/>
      </c>
      <c r="E5514" s="88"/>
      <c r="F5514" s="89" t="str">
        <f>IF(B5514="","",IF($A$8="NÃO DESONERADO",(IF(A5514="SINAPI",VLOOKUP(B5514,#REF!,4,0),IF(A5514="SUDECAP",VLOOKUP(B5514,#REF!,5,0),IF(A5514="SETOP",VLOOKUP(B5514,#REF!,4,0),IF(A5514="COTAÇÃO",VLOOKUP(B5514,'Mapa Cotações'!$A:$N,13,0)))))),(IF(A5514="SINAPI",VLOOKUP(B5514,#REF!,4,0),IF(A5514="SUDECAP",VLOOKUP(B5514,#REF!,5,0),IF(A5514="SETOP",VLOOKUP(B5514,#REF!,4,0),IF(A5514="COTAÇÃO",VLOOKUP(B5514,'Mapa Cotações'!$A:$N,13,0))))))))</f>
        <v/>
      </c>
      <c r="G5514" s="89" t="str">
        <f>IF(D5514="","",E5514*F5514)</f>
        <v/>
      </c>
    </row>
    <row r="5515" spans="1:11">
      <c r="A5515" s="832" t="s">
        <v>1908</v>
      </c>
      <c r="B5515" s="833"/>
      <c r="C5515" s="833"/>
      <c r="D5515" s="833"/>
      <c r="E5515" s="833"/>
      <c r="F5515" s="834"/>
      <c r="G5515" s="90" t="str">
        <f>IF(F5513="","",(SUM(G5513:G5514)))</f>
        <v/>
      </c>
    </row>
    <row r="5516" spans="1:11">
      <c r="A5516" s="91"/>
      <c r="B5516" s="92"/>
      <c r="C5516" s="161"/>
      <c r="D5516" s="93"/>
      <c r="E5516" s="94"/>
      <c r="F5516" s="95"/>
      <c r="G5516" s="96"/>
    </row>
    <row r="5517" spans="1:11">
      <c r="A5517" s="835" t="s">
        <v>1909</v>
      </c>
      <c r="B5517" s="836"/>
      <c r="C5517" s="836"/>
      <c r="D5517" s="836"/>
      <c r="E5517" s="836"/>
      <c r="F5517" s="836"/>
      <c r="G5517" s="837"/>
    </row>
    <row r="5518" spans="1:11">
      <c r="A5518" s="84" t="s">
        <v>1903</v>
      </c>
      <c r="B5518" s="84" t="s">
        <v>131</v>
      </c>
      <c r="C5518" s="160" t="s">
        <v>1904</v>
      </c>
      <c r="D5518" s="84" t="s">
        <v>167</v>
      </c>
      <c r="E5518" s="85" t="s">
        <v>1905</v>
      </c>
      <c r="F5518" s="86" t="s">
        <v>1906</v>
      </c>
      <c r="G5518" s="86" t="s">
        <v>1907</v>
      </c>
    </row>
    <row r="5519" spans="1:11" ht="24">
      <c r="A5519" s="87" t="s">
        <v>2</v>
      </c>
      <c r="B5519" s="87">
        <v>90775</v>
      </c>
      <c r="C5519" s="278" t="s">
        <v>2267</v>
      </c>
      <c r="D5519" s="89" t="s">
        <v>2087</v>
      </c>
      <c r="E5519" s="88">
        <v>15</v>
      </c>
      <c r="F5519" s="89">
        <v>45.69</v>
      </c>
      <c r="G5519" s="89">
        <f>IF(D5519="","",E5519*F5519)</f>
        <v>685.34999999999991</v>
      </c>
    </row>
    <row r="5520" spans="1:11" ht="24">
      <c r="A5520" s="87" t="s">
        <v>2</v>
      </c>
      <c r="B5520" s="87">
        <v>90779</v>
      </c>
      <c r="C5520" s="278" t="s">
        <v>2268</v>
      </c>
      <c r="D5520" s="89" t="s">
        <v>2087</v>
      </c>
      <c r="E5520" s="88">
        <v>5</v>
      </c>
      <c r="F5520" s="89">
        <v>152.09</v>
      </c>
      <c r="G5520" s="89">
        <f>IF(D5520="","",E5520*F5520)</f>
        <v>760.45</v>
      </c>
    </row>
    <row r="5521" spans="1:11" ht="24">
      <c r="A5521" s="87" t="s">
        <v>3</v>
      </c>
      <c r="B5521" s="87" t="s">
        <v>1289</v>
      </c>
      <c r="C5521" s="278" t="s">
        <v>2269</v>
      </c>
      <c r="D5521" s="89" t="s">
        <v>2270</v>
      </c>
      <c r="E5521" s="88">
        <f>(1/220)*5</f>
        <v>2.2727272727272728E-2</v>
      </c>
      <c r="F5521" s="89">
        <v>20794.32</v>
      </c>
      <c r="G5521" s="89">
        <f>IF(D5521="","",E5521*F5521)</f>
        <v>472.59818181818184</v>
      </c>
    </row>
    <row r="5522" spans="1:11">
      <c r="A5522" s="832" t="s">
        <v>1908</v>
      </c>
      <c r="B5522" s="833"/>
      <c r="C5522" s="833"/>
      <c r="D5522" s="833"/>
      <c r="E5522" s="833"/>
      <c r="F5522" s="834"/>
      <c r="G5522" s="90">
        <f>IF(F5519="","",(SUM(G5519:G5521)))</f>
        <v>1918.3981818181819</v>
      </c>
    </row>
    <row r="5523" spans="1:11">
      <c r="A5523" s="91"/>
      <c r="B5523" s="92"/>
      <c r="C5523" s="162"/>
      <c r="D5523" s="92"/>
      <c r="E5523" s="97"/>
      <c r="F5523" s="98"/>
      <c r="G5523" s="96"/>
    </row>
    <row r="5524" spans="1:11">
      <c r="A5524" s="835" t="s">
        <v>1912</v>
      </c>
      <c r="B5524" s="836"/>
      <c r="C5524" s="836"/>
      <c r="D5524" s="836"/>
      <c r="E5524" s="836"/>
      <c r="F5524" s="836"/>
      <c r="G5524" s="837"/>
    </row>
    <row r="5525" spans="1:11">
      <c r="A5525" s="84" t="s">
        <v>1903</v>
      </c>
      <c r="B5525" s="84" t="s">
        <v>131</v>
      </c>
      <c r="C5525" s="160" t="s">
        <v>1904</v>
      </c>
      <c r="D5525" s="84" t="s">
        <v>167</v>
      </c>
      <c r="E5525" s="85" t="s">
        <v>1905</v>
      </c>
      <c r="F5525" s="86" t="s">
        <v>1906</v>
      </c>
      <c r="G5525" s="86" t="s">
        <v>1907</v>
      </c>
    </row>
    <row r="5526" spans="1:11">
      <c r="A5526" s="87"/>
      <c r="B5526" s="87"/>
      <c r="C5526" s="278" t="str">
        <f>IF(B5526="","",IF($A$8="NÃO DESONERADO",(IF(A5526="SINAPI",VLOOKUP(B5526,#REF!,2,0),IF(A5526="SUDECAP",VLOOKUP(B5526,#REF!,3,0),IF(A5526="SETOP",VLOOKUP(B5526,#REF!,2,0),IF(A5526="COTAÇÃO",VLOOKUP(B5526,'Mapa Cotações'!$A:$N,2,0)))))),(IF(A5526="SINAPI",VLOOKUP(B5526,#REF!,2,0),IF(A5526="SUDECAP",VLOOKUP(B5526,#REF!,3,0),IF(A5526="SETOP",VLOOKUP(B5526,#REF!,2,0),IF(A5526="COTAÇÃO",VLOOKUP(B5526,'Mapa Cotações'!$A:$N,2,0))))))))</f>
        <v/>
      </c>
      <c r="D5526" s="89" t="str">
        <f>IF(B5526="","",IF($A$8="NÃO DESONERADO",(IF(A5526="SINAPI",VLOOKUP(B5526,#REF!,3,0),IF(A5526="SUDECAP",VLOOKUP(B5526,#REF!,4,0),IF(A5526="SETOP",VLOOKUP(B5526,#REF!,3,0),IF(A5526="COTAÇÃO",VLOOKUP(B5526,'Mapa Cotações'!$A:$N,3,0)))))),(IF(A5526="SINAPI",VLOOKUP(B5526,#REF!,3,0),IF(A5526="SUDECAP",VLOOKUP(B5526,#REF!,4,0),IF(A5526="SETOP",VLOOKUP(B5526,#REF!,3,0),IF(A5526="COTAÇÃO",VLOOKUP(B5526,'Mapa Cotações'!$A:$N,3,0))))))))</f>
        <v/>
      </c>
      <c r="E5526" s="88"/>
      <c r="F5526" s="89" t="str">
        <f>IF(B5526="","",IF($A$8="NÃO DESONERADO",(IF(A5526="SINAPI",VLOOKUP(B5526,#REF!,4,0),IF(A5526="SUDECAP",VLOOKUP(B5526,#REF!,5,0),IF(A5526="SETOP",VLOOKUP(B5526,#REF!,4,0),IF(A5526="COTAÇÃO",VLOOKUP(B5526,'Mapa Cotações'!$A:$N,13,0)))))),(IF(A5526="SINAPI",VLOOKUP(B5526,#REF!,4,0),IF(A5526="SUDECAP",VLOOKUP(B5526,#REF!,5,0),IF(A5526="SETOP",VLOOKUP(B5526,#REF!,4,0),IF(A5526="COTAÇÃO",VLOOKUP(B5526,'Mapa Cotações'!$A:$N,13,0))))))))</f>
        <v/>
      </c>
      <c r="G5526" s="89" t="str">
        <f>IF(D5526="","",E5526*F5526)</f>
        <v/>
      </c>
    </row>
    <row r="5527" spans="1:11">
      <c r="A5527" s="87"/>
      <c r="B5527" s="87"/>
      <c r="C5527" s="278" t="str">
        <f>IF(B5527="","",IF($A$8="NÃO DESONERADO",(IF(A5527="SINAPI",VLOOKUP(B5527,#REF!,2,0),IF(A5527="SUDECAP",VLOOKUP(B5527,#REF!,3,0),IF(A5527="SETOP",VLOOKUP(B5527,#REF!,2,0),IF(A5527="COTAÇÃO",VLOOKUP(B5527,'Mapa Cotações'!$A:$N,2,0)))))),(IF(A5527="SINAPI",VLOOKUP(B5527,#REF!,2,0),IF(A5527="SUDECAP",VLOOKUP(B5527,#REF!,3,0),IF(A5527="SETOP",VLOOKUP(B5527,#REF!,2,0),IF(A5527="COTAÇÃO",VLOOKUP(B5527,'Mapa Cotações'!$A:$N,2,0))))))))</f>
        <v/>
      </c>
      <c r="D5527" s="89" t="str">
        <f>IF(B5527="","",IF($A$8="NÃO DESONERADO",(IF(A5527="SINAPI",VLOOKUP(B5527,#REF!,3,0),IF(A5527="SUDECAP",VLOOKUP(B5527,#REF!,4,0),IF(A5527="SETOP",VLOOKUP(B5527,#REF!,3,0),IF(A5527="COTAÇÃO",VLOOKUP(B5527,'Mapa Cotações'!$A:$N,3,0)))))),(IF(A5527="SINAPI",VLOOKUP(B5527,#REF!,3,0),IF(A5527="SUDECAP",VLOOKUP(B5527,#REF!,4,0),IF(A5527="SETOP",VLOOKUP(B5527,#REF!,3,0),IF(A5527="COTAÇÃO",VLOOKUP(B5527,'Mapa Cotações'!$A:$N,3,0))))))))</f>
        <v/>
      </c>
      <c r="E5527" s="88"/>
      <c r="F5527" s="89" t="str">
        <f>IF(B5527="","",IF($A$8="NÃO DESONERADO",(IF(A5527="SINAPI",VLOOKUP(B5527,#REF!,4,0),IF(A5527="SUDECAP",VLOOKUP(B5527,#REF!,5,0),IF(A5527="SETOP",VLOOKUP(B5527,#REF!,4,0),IF(A5527="COTAÇÃO",VLOOKUP(B5527,'Mapa Cotações'!$A:$N,13,0)))))),(IF(A5527="SINAPI",VLOOKUP(B5527,#REF!,4,0),IF(A5527="SUDECAP",VLOOKUP(B5527,#REF!,5,0),IF(A5527="SETOP",VLOOKUP(B5527,#REF!,4,0),IF(A5527="COTAÇÃO",VLOOKUP(B5527,'Mapa Cotações'!$A:$N,13,0))))))))</f>
        <v/>
      </c>
      <c r="G5527" s="89" t="str">
        <f>IF(D5527="","",E5527*F5527)</f>
        <v/>
      </c>
    </row>
    <row r="5528" spans="1:11">
      <c r="A5528" s="832" t="s">
        <v>1908</v>
      </c>
      <c r="B5528" s="833" t="s">
        <v>1908</v>
      </c>
      <c r="C5528" s="833"/>
      <c r="D5528" s="833"/>
      <c r="E5528" s="833"/>
      <c r="F5528" s="834"/>
      <c r="G5528" s="90" t="str">
        <f>IF(F5526="","",(SUM(G5526:G5527)))</f>
        <v/>
      </c>
    </row>
    <row r="5529" spans="1:11" ht="13.5" thickBot="1">
      <c r="A5529" s="91"/>
      <c r="B5529" s="92"/>
      <c r="C5529" s="163"/>
      <c r="D5529" s="99"/>
      <c r="E5529" s="100"/>
      <c r="F5529" s="101"/>
      <c r="G5529" s="102"/>
    </row>
    <row r="5530" spans="1:11" ht="13.5" thickBot="1">
      <c r="A5530" s="838" t="s">
        <v>1259</v>
      </c>
      <c r="B5530" s="839"/>
      <c r="C5530" s="839"/>
      <c r="D5530" s="839"/>
      <c r="E5530" s="839"/>
      <c r="F5530" s="840"/>
      <c r="G5530" s="103">
        <f>SUM(G5515,G5522,G5528)</f>
        <v>1918.3981818181819</v>
      </c>
    </row>
    <row r="5533" spans="1:11">
      <c r="A5533" s="237" t="s">
        <v>131</v>
      </c>
      <c r="B5533" s="190" t="s">
        <v>27</v>
      </c>
      <c r="C5533" s="841" t="s">
        <v>1281</v>
      </c>
      <c r="D5533" s="841"/>
      <c r="E5533" s="841"/>
      <c r="F5533" s="841"/>
      <c r="G5533" s="81" t="s">
        <v>127</v>
      </c>
      <c r="I5533" s="482" t="s">
        <v>1901</v>
      </c>
    </row>
    <row r="5534" spans="1:11" ht="50.1" customHeight="1">
      <c r="A5534" s="179" t="s">
        <v>745</v>
      </c>
      <c r="B5534" s="82"/>
      <c r="C5534" s="830" t="s">
        <v>1689</v>
      </c>
      <c r="D5534" s="831"/>
      <c r="E5534" s="831"/>
      <c r="F5534" s="186">
        <f>G5554</f>
        <v>2302.0778181818182</v>
      </c>
      <c r="G5534" s="83" t="s">
        <v>167</v>
      </c>
      <c r="I5534" s="481"/>
      <c r="J5534" s="272"/>
      <c r="K5534" s="272"/>
    </row>
    <row r="5535" spans="1:11">
      <c r="A5535" s="818" t="s">
        <v>1902</v>
      </c>
      <c r="B5535" s="819"/>
      <c r="C5535" s="819"/>
      <c r="D5535" s="819"/>
      <c r="E5535" s="819"/>
      <c r="F5535" s="819"/>
      <c r="G5535" s="820"/>
    </row>
    <row r="5536" spans="1:11">
      <c r="A5536" s="84" t="s">
        <v>1903</v>
      </c>
      <c r="B5536" s="84" t="s">
        <v>131</v>
      </c>
      <c r="C5536" s="160" t="s">
        <v>1904</v>
      </c>
      <c r="D5536" s="84" t="s">
        <v>167</v>
      </c>
      <c r="E5536" s="85" t="s">
        <v>1905</v>
      </c>
      <c r="F5536" s="86" t="s">
        <v>1906</v>
      </c>
      <c r="G5536" s="86" t="s">
        <v>1907</v>
      </c>
      <c r="I5536" s="480"/>
      <c r="J5536" s="80"/>
      <c r="K5536" s="80"/>
    </row>
    <row r="5537" spans="1:11">
      <c r="A5537" s="87"/>
      <c r="B5537" s="87"/>
      <c r="C5537" s="278" t="str">
        <f>IF(B5537="","",IF($A$8="NÃO DESONERADO",(IF(A5537="SINAPI",VLOOKUP(B5537,#REF!,2,0),IF(A5537="SUDECAP",VLOOKUP(B5537,#REF!,3,0),IF(A5537="SETOP",VLOOKUP(B5537,#REF!,2,0),IF(A5537="COTAÇÃO",VLOOKUP(B5537,'Mapa Cotações'!$A:$N,2,0)))))),(IF(A5537="SINAPI",VLOOKUP(B5537,#REF!,2,0),IF(A5537="SUDECAP",VLOOKUP(B5537,#REF!,3,0),IF(A5537="SETOP",VLOOKUP(B5537,#REF!,2,0),IF(A5537="COTAÇÃO",VLOOKUP(B5537,'Mapa Cotações'!$A:$N,2,0))))))))</f>
        <v/>
      </c>
      <c r="D5537" s="89" t="str">
        <f>IF(B5537="","",IF($A$8="NÃO DESONERADO",(IF(A5537="SINAPI",VLOOKUP(B5537,#REF!,3,0),IF(A5537="SUDECAP",VLOOKUP(B5537,#REF!,4,0),IF(A5537="SETOP",VLOOKUP(B5537,#REF!,3,0),IF(A5537="COTAÇÃO",VLOOKUP(B5537,'Mapa Cotações'!$A:$N,3,0)))))),(IF(A5537="SINAPI",VLOOKUP(B5537,#REF!,3,0),IF(A5537="SUDECAP",VLOOKUP(B5537,#REF!,4,0),IF(A5537="SETOP",VLOOKUP(B5537,#REF!,3,0),IF(A5537="COTAÇÃO",VLOOKUP(B5537,'Mapa Cotações'!$A:$N,3,0))))))))</f>
        <v/>
      </c>
      <c r="E5537" s="88"/>
      <c r="F5537" s="89" t="str">
        <f>IF(B5537="","",IF($A$8="NÃO DESONERADO",(IF(A5537="SINAPI",VLOOKUP(B5537,#REF!,4,0),IF(A5537="SUDECAP",VLOOKUP(B5537,#REF!,5,0),IF(A5537="SETOP",VLOOKUP(B5537,#REF!,4,0),IF(A5537="COTAÇÃO",VLOOKUP(B5537,'Mapa Cotações'!$A:$N,13,0)))))),(IF(A5537="SINAPI",VLOOKUP(B5537,#REF!,4,0),IF(A5537="SUDECAP",VLOOKUP(B5537,#REF!,5,0),IF(A5537="SETOP",VLOOKUP(B5537,#REF!,4,0),IF(A5537="COTAÇÃO",VLOOKUP(B5537,'Mapa Cotações'!$A:$N,13,0))))))))</f>
        <v/>
      </c>
      <c r="G5537" s="89" t="str">
        <f>IF(D5537="","",E5537*F5537)</f>
        <v/>
      </c>
      <c r="I5537" s="480"/>
      <c r="J5537" s="80"/>
      <c r="K5537" s="80"/>
    </row>
    <row r="5538" spans="1:11">
      <c r="A5538" s="87"/>
      <c r="B5538" s="87"/>
      <c r="C5538" s="278" t="str">
        <f>IF(B5538="","",IF($A$8="NÃO DESONERADO",(IF(A5538="SINAPI",VLOOKUP(B5538,#REF!,2,0),IF(A5538="SUDECAP",VLOOKUP(B5538,#REF!,3,0),IF(A5538="SETOP",VLOOKUP(B5538,#REF!,2,0),IF(A5538="COTAÇÃO",VLOOKUP(B5538,'Mapa Cotações'!$A:$N,2,0)))))),(IF(A5538="SINAPI",VLOOKUP(B5538,#REF!,2,0),IF(A5538="SUDECAP",VLOOKUP(B5538,#REF!,3,0),IF(A5538="SETOP",VLOOKUP(B5538,#REF!,2,0),IF(A5538="COTAÇÃO",VLOOKUP(B5538,'Mapa Cotações'!$A:$N,2,0))))))))</f>
        <v/>
      </c>
      <c r="D5538" s="89" t="str">
        <f>IF(B5538="","",IF($A$8="NÃO DESONERADO",(IF(A5538="SINAPI",VLOOKUP(B5538,#REF!,3,0),IF(A5538="SUDECAP",VLOOKUP(B5538,#REF!,4,0),IF(A5538="SETOP",VLOOKUP(B5538,#REF!,3,0),IF(A5538="COTAÇÃO",VLOOKUP(B5538,'Mapa Cotações'!$A:$N,3,0)))))),(IF(A5538="SINAPI",VLOOKUP(B5538,#REF!,3,0),IF(A5538="SUDECAP",VLOOKUP(B5538,#REF!,4,0),IF(A5538="SETOP",VLOOKUP(B5538,#REF!,3,0),IF(A5538="COTAÇÃO",VLOOKUP(B5538,'Mapa Cotações'!$A:$N,3,0))))))))</f>
        <v/>
      </c>
      <c r="E5538" s="88"/>
      <c r="F5538" s="89" t="str">
        <f>IF(B5538="","",IF($A$8="NÃO DESONERADO",(IF(A5538="SINAPI",VLOOKUP(B5538,#REF!,4,0),IF(A5538="SUDECAP",VLOOKUP(B5538,#REF!,5,0),IF(A5538="SETOP",VLOOKUP(B5538,#REF!,4,0),IF(A5538="COTAÇÃO",VLOOKUP(B5538,'Mapa Cotações'!$A:$N,13,0)))))),(IF(A5538="SINAPI",VLOOKUP(B5538,#REF!,4,0),IF(A5538="SUDECAP",VLOOKUP(B5538,#REF!,5,0),IF(A5538="SETOP",VLOOKUP(B5538,#REF!,4,0),IF(A5538="COTAÇÃO",VLOOKUP(B5538,'Mapa Cotações'!$A:$N,13,0))))))))</f>
        <v/>
      </c>
      <c r="G5538" s="89" t="str">
        <f>IF(D5538="","",E5538*F5538)</f>
        <v/>
      </c>
      <c r="I5538" s="480"/>
      <c r="J5538" s="80"/>
      <c r="K5538" s="80"/>
    </row>
    <row r="5539" spans="1:11">
      <c r="A5539" s="832" t="s">
        <v>1908</v>
      </c>
      <c r="B5539" s="833"/>
      <c r="C5539" s="833"/>
      <c r="D5539" s="833"/>
      <c r="E5539" s="833"/>
      <c r="F5539" s="834"/>
      <c r="G5539" s="90" t="str">
        <f>IF(F5537="","",(SUM(G5537:G5538)))</f>
        <v/>
      </c>
      <c r="I5539" s="480"/>
      <c r="J5539" s="80"/>
      <c r="K5539" s="80"/>
    </row>
    <row r="5540" spans="1:11">
      <c r="A5540" s="91"/>
      <c r="B5540" s="92"/>
      <c r="C5540" s="161"/>
      <c r="D5540" s="93"/>
      <c r="E5540" s="94"/>
      <c r="F5540" s="95"/>
      <c r="G5540" s="96"/>
      <c r="I5540" s="480"/>
      <c r="J5540" s="80"/>
      <c r="K5540" s="80"/>
    </row>
    <row r="5541" spans="1:11">
      <c r="A5541" s="835" t="s">
        <v>1909</v>
      </c>
      <c r="B5541" s="836"/>
      <c r="C5541" s="836"/>
      <c r="D5541" s="836"/>
      <c r="E5541" s="836"/>
      <c r="F5541" s="836"/>
      <c r="G5541" s="837"/>
      <c r="I5541" s="480"/>
      <c r="J5541" s="80"/>
      <c r="K5541" s="80"/>
    </row>
    <row r="5542" spans="1:11">
      <c r="A5542" s="84" t="s">
        <v>1903</v>
      </c>
      <c r="B5542" s="84" t="s">
        <v>131</v>
      </c>
      <c r="C5542" s="160" t="s">
        <v>1904</v>
      </c>
      <c r="D5542" s="84" t="s">
        <v>167</v>
      </c>
      <c r="E5542" s="85" t="s">
        <v>1905</v>
      </c>
      <c r="F5542" s="86" t="s">
        <v>1906</v>
      </c>
      <c r="G5542" s="86" t="s">
        <v>1907</v>
      </c>
      <c r="I5542" s="480"/>
      <c r="J5542" s="80"/>
      <c r="K5542" s="80"/>
    </row>
    <row r="5543" spans="1:11" ht="24">
      <c r="A5543" s="87" t="s">
        <v>2</v>
      </c>
      <c r="B5543" s="87">
        <v>90775</v>
      </c>
      <c r="C5543" s="278" t="s">
        <v>2267</v>
      </c>
      <c r="D5543" s="89" t="s">
        <v>2087</v>
      </c>
      <c r="E5543" s="88">
        <v>18</v>
      </c>
      <c r="F5543" s="89">
        <v>45.69</v>
      </c>
      <c r="G5543" s="89">
        <f>IF(D5543="","",E5543*F5543)</f>
        <v>822.42</v>
      </c>
      <c r="I5543" s="480"/>
      <c r="J5543" s="80"/>
      <c r="K5543" s="80"/>
    </row>
    <row r="5544" spans="1:11" ht="24">
      <c r="A5544" s="87" t="s">
        <v>2</v>
      </c>
      <c r="B5544" s="87">
        <v>90779</v>
      </c>
      <c r="C5544" s="278" t="s">
        <v>2268</v>
      </c>
      <c r="D5544" s="89" t="s">
        <v>2087</v>
      </c>
      <c r="E5544" s="88">
        <v>6</v>
      </c>
      <c r="F5544" s="89">
        <v>152.09</v>
      </c>
      <c r="G5544" s="89">
        <f>IF(D5544="","",E5544*F5544)</f>
        <v>912.54</v>
      </c>
      <c r="I5544" s="480"/>
      <c r="J5544" s="80"/>
      <c r="K5544" s="80"/>
    </row>
    <row r="5545" spans="1:11" ht="24">
      <c r="A5545" s="87" t="s">
        <v>3</v>
      </c>
      <c r="B5545" s="87" t="s">
        <v>1289</v>
      </c>
      <c r="C5545" s="278" t="s">
        <v>2269</v>
      </c>
      <c r="D5545" s="89" t="s">
        <v>2270</v>
      </c>
      <c r="E5545" s="88">
        <f>(1/220)*6</f>
        <v>2.7272727272727271E-2</v>
      </c>
      <c r="F5545" s="89">
        <v>20794.32</v>
      </c>
      <c r="G5545" s="89">
        <f>IF(D5545="","",E5545*F5545)</f>
        <v>567.11781818181817</v>
      </c>
      <c r="I5545" s="480"/>
      <c r="J5545" s="80"/>
      <c r="K5545" s="80"/>
    </row>
    <row r="5546" spans="1:11">
      <c r="A5546" s="832" t="s">
        <v>1908</v>
      </c>
      <c r="B5546" s="833"/>
      <c r="C5546" s="833"/>
      <c r="D5546" s="833"/>
      <c r="E5546" s="833"/>
      <c r="F5546" s="834"/>
      <c r="G5546" s="90">
        <f>IF(F5543="","",(SUM(G5543:G5545)))</f>
        <v>2302.0778181818182</v>
      </c>
      <c r="I5546" s="480"/>
      <c r="J5546" s="80"/>
      <c r="K5546" s="80"/>
    </row>
    <row r="5547" spans="1:11">
      <c r="A5547" s="91"/>
      <c r="B5547" s="92"/>
      <c r="C5547" s="162"/>
      <c r="D5547" s="92"/>
      <c r="E5547" s="97"/>
      <c r="F5547" s="98"/>
      <c r="G5547" s="96"/>
      <c r="I5547" s="480"/>
      <c r="J5547" s="80"/>
      <c r="K5547" s="80"/>
    </row>
    <row r="5548" spans="1:11">
      <c r="A5548" s="835" t="s">
        <v>1912</v>
      </c>
      <c r="B5548" s="836"/>
      <c r="C5548" s="836"/>
      <c r="D5548" s="836"/>
      <c r="E5548" s="836"/>
      <c r="F5548" s="836"/>
      <c r="G5548" s="837"/>
      <c r="I5548" s="480"/>
      <c r="J5548" s="80"/>
      <c r="K5548" s="80"/>
    </row>
    <row r="5549" spans="1:11">
      <c r="A5549" s="84" t="s">
        <v>1903</v>
      </c>
      <c r="B5549" s="84" t="s">
        <v>131</v>
      </c>
      <c r="C5549" s="160" t="s">
        <v>1904</v>
      </c>
      <c r="D5549" s="84" t="s">
        <v>167</v>
      </c>
      <c r="E5549" s="85" t="s">
        <v>1905</v>
      </c>
      <c r="F5549" s="86" t="s">
        <v>1906</v>
      </c>
      <c r="G5549" s="86" t="s">
        <v>1907</v>
      </c>
      <c r="I5549" s="480"/>
      <c r="J5549" s="80"/>
      <c r="K5549" s="80"/>
    </row>
    <row r="5550" spans="1:11">
      <c r="A5550" s="87"/>
      <c r="B5550" s="87"/>
      <c r="C5550" s="278" t="str">
        <f>IF(B5550="","",IF($A$8="NÃO DESONERADO",(IF(A5550="SINAPI",VLOOKUP(B5550,#REF!,2,0),IF(A5550="SUDECAP",VLOOKUP(B5550,#REF!,3,0),IF(A5550="SETOP",VLOOKUP(B5550,#REF!,2,0),IF(A5550="COTAÇÃO",VLOOKUP(B5550,'Mapa Cotações'!$A:$N,2,0)))))),(IF(A5550="SINAPI",VLOOKUP(B5550,#REF!,2,0),IF(A5550="SUDECAP",VLOOKUP(B5550,#REF!,3,0),IF(A5550="SETOP",VLOOKUP(B5550,#REF!,2,0),IF(A5550="COTAÇÃO",VLOOKUP(B5550,'Mapa Cotações'!$A:$N,2,0))))))))</f>
        <v/>
      </c>
      <c r="D5550" s="89" t="str">
        <f>IF(B5550="","",IF($A$8="NÃO DESONERADO",(IF(A5550="SINAPI",VLOOKUP(B5550,#REF!,3,0),IF(A5550="SUDECAP",VLOOKUP(B5550,#REF!,4,0),IF(A5550="SETOP",VLOOKUP(B5550,#REF!,3,0),IF(A5550="COTAÇÃO",VLOOKUP(B5550,'Mapa Cotações'!$A:$N,3,0)))))),(IF(A5550="SINAPI",VLOOKUP(B5550,#REF!,3,0),IF(A5550="SUDECAP",VLOOKUP(B5550,#REF!,4,0),IF(A5550="SETOP",VLOOKUP(B5550,#REF!,3,0),IF(A5550="COTAÇÃO",VLOOKUP(B5550,'Mapa Cotações'!$A:$N,3,0))))))))</f>
        <v/>
      </c>
      <c r="E5550" s="88"/>
      <c r="F5550" s="89" t="str">
        <f>IF(B5550="","",IF($A$8="NÃO DESONERADO",(IF(A5550="SINAPI",VLOOKUP(B5550,#REF!,4,0),IF(A5550="SUDECAP",VLOOKUP(B5550,#REF!,5,0),IF(A5550="SETOP",VLOOKUP(B5550,#REF!,4,0),IF(A5550="COTAÇÃO",VLOOKUP(B5550,'Mapa Cotações'!$A:$N,13,0)))))),(IF(A5550="SINAPI",VLOOKUP(B5550,#REF!,4,0),IF(A5550="SUDECAP",VLOOKUP(B5550,#REF!,5,0),IF(A5550="SETOP",VLOOKUP(B5550,#REF!,4,0),IF(A5550="COTAÇÃO",VLOOKUP(B5550,'Mapa Cotações'!$A:$N,13,0))))))))</f>
        <v/>
      </c>
      <c r="G5550" s="89" t="str">
        <f>IF(D5550="","",E5550*F5550)</f>
        <v/>
      </c>
      <c r="I5550" s="480"/>
      <c r="J5550" s="80"/>
      <c r="K5550" s="80"/>
    </row>
    <row r="5551" spans="1:11">
      <c r="A5551" s="87"/>
      <c r="B5551" s="87"/>
      <c r="C5551" s="278" t="str">
        <f>IF(B5551="","",IF($A$8="NÃO DESONERADO",(IF(A5551="SINAPI",VLOOKUP(B5551,#REF!,2,0),IF(A5551="SUDECAP",VLOOKUP(B5551,#REF!,3,0),IF(A5551="SETOP",VLOOKUP(B5551,#REF!,2,0),IF(A5551="COTAÇÃO",VLOOKUP(B5551,'Mapa Cotações'!$A:$N,2,0)))))),(IF(A5551="SINAPI",VLOOKUP(B5551,#REF!,2,0),IF(A5551="SUDECAP",VLOOKUP(B5551,#REF!,3,0),IF(A5551="SETOP",VLOOKUP(B5551,#REF!,2,0),IF(A5551="COTAÇÃO",VLOOKUP(B5551,'Mapa Cotações'!$A:$N,2,0))))))))</f>
        <v/>
      </c>
      <c r="D5551" s="89" t="str">
        <f>IF(B5551="","",IF($A$8="NÃO DESONERADO",(IF(A5551="SINAPI",VLOOKUP(B5551,#REF!,3,0),IF(A5551="SUDECAP",VLOOKUP(B5551,#REF!,4,0),IF(A5551="SETOP",VLOOKUP(B5551,#REF!,3,0),IF(A5551="COTAÇÃO",VLOOKUP(B5551,'Mapa Cotações'!$A:$N,3,0)))))),(IF(A5551="SINAPI",VLOOKUP(B5551,#REF!,3,0),IF(A5551="SUDECAP",VLOOKUP(B5551,#REF!,4,0),IF(A5551="SETOP",VLOOKUP(B5551,#REF!,3,0),IF(A5551="COTAÇÃO",VLOOKUP(B5551,'Mapa Cotações'!$A:$N,3,0))))))))</f>
        <v/>
      </c>
      <c r="E5551" s="88"/>
      <c r="F5551" s="89" t="str">
        <f>IF(B5551="","",IF($A$8="NÃO DESONERADO",(IF(A5551="SINAPI",VLOOKUP(B5551,#REF!,4,0),IF(A5551="SUDECAP",VLOOKUP(B5551,#REF!,5,0),IF(A5551="SETOP",VLOOKUP(B5551,#REF!,4,0),IF(A5551="COTAÇÃO",VLOOKUP(B5551,'Mapa Cotações'!$A:$N,13,0)))))),(IF(A5551="SINAPI",VLOOKUP(B5551,#REF!,4,0),IF(A5551="SUDECAP",VLOOKUP(B5551,#REF!,5,0),IF(A5551="SETOP",VLOOKUP(B5551,#REF!,4,0),IF(A5551="COTAÇÃO",VLOOKUP(B5551,'Mapa Cotações'!$A:$N,13,0))))))))</f>
        <v/>
      </c>
      <c r="G5551" s="89" t="str">
        <f>IF(D5551="","",E5551*F5551)</f>
        <v/>
      </c>
      <c r="I5551" s="480"/>
      <c r="J5551" s="80"/>
      <c r="K5551" s="80"/>
    </row>
    <row r="5552" spans="1:11">
      <c r="A5552" s="832" t="s">
        <v>1908</v>
      </c>
      <c r="B5552" s="833" t="s">
        <v>1908</v>
      </c>
      <c r="C5552" s="833"/>
      <c r="D5552" s="833"/>
      <c r="E5552" s="833"/>
      <c r="F5552" s="834"/>
      <c r="G5552" s="90" t="str">
        <f>IF(F5550="","",(SUM(G5550:G5551)))</f>
        <v/>
      </c>
      <c r="I5552" s="480"/>
      <c r="J5552" s="80"/>
      <c r="K5552" s="80"/>
    </row>
    <row r="5553" spans="1:11" ht="13.5" thickBot="1">
      <c r="A5553" s="91"/>
      <c r="B5553" s="92"/>
      <c r="C5553" s="163"/>
      <c r="D5553" s="99"/>
      <c r="E5553" s="100"/>
      <c r="F5553" s="101"/>
      <c r="G5553" s="102"/>
    </row>
    <row r="5554" spans="1:11" ht="13.5" thickBot="1">
      <c r="A5554" s="838" t="s">
        <v>1259</v>
      </c>
      <c r="B5554" s="839"/>
      <c r="C5554" s="839"/>
      <c r="D5554" s="839"/>
      <c r="E5554" s="839"/>
      <c r="F5554" s="840"/>
      <c r="G5554" s="103">
        <f>SUM(G5539,G5546,G5552)</f>
        <v>2302.0778181818182</v>
      </c>
    </row>
    <row r="5557" spans="1:11">
      <c r="A5557" s="237" t="s">
        <v>131</v>
      </c>
      <c r="B5557" s="190" t="s">
        <v>27</v>
      </c>
      <c r="C5557" s="841" t="s">
        <v>1281</v>
      </c>
      <c r="D5557" s="841"/>
      <c r="E5557" s="841"/>
      <c r="F5557" s="841"/>
      <c r="G5557" s="81" t="s">
        <v>127</v>
      </c>
      <c r="I5557" s="482" t="s">
        <v>1901</v>
      </c>
    </row>
    <row r="5558" spans="1:11" ht="50.1" customHeight="1">
      <c r="A5558" s="179" t="s">
        <v>748</v>
      </c>
      <c r="B5558" s="82"/>
      <c r="C5558" s="830" t="s">
        <v>1692</v>
      </c>
      <c r="D5558" s="831"/>
      <c r="E5558" s="831"/>
      <c r="F5558" s="186">
        <f>G5577</f>
        <v>6.1230000000000002</v>
      </c>
      <c r="G5558" s="83" t="s">
        <v>150</v>
      </c>
      <c r="I5558" s="481"/>
      <c r="J5558" s="272"/>
      <c r="K5558" s="272"/>
    </row>
    <row r="5559" spans="1:11">
      <c r="A5559" s="818" t="s">
        <v>1902</v>
      </c>
      <c r="B5559" s="819"/>
      <c r="C5559" s="819"/>
      <c r="D5559" s="819"/>
      <c r="E5559" s="819"/>
      <c r="F5559" s="819"/>
      <c r="G5559" s="820"/>
    </row>
    <row r="5560" spans="1:11">
      <c r="A5560" s="84" t="s">
        <v>1903</v>
      </c>
      <c r="B5560" s="84" t="s">
        <v>131</v>
      </c>
      <c r="C5560" s="160" t="s">
        <v>1904</v>
      </c>
      <c r="D5560" s="84" t="s">
        <v>167</v>
      </c>
      <c r="E5560" s="85" t="s">
        <v>1905</v>
      </c>
      <c r="F5560" s="86" t="s">
        <v>1906</v>
      </c>
      <c r="G5560" s="86" t="s">
        <v>1907</v>
      </c>
    </row>
    <row r="5561" spans="1:11">
      <c r="A5561" s="87"/>
      <c r="B5561" s="87"/>
      <c r="C5561" s="278" t="str">
        <f>IF(B5561="","",IF($A$8="NÃO DESONERADO",(IF(A5561="SINAPI",VLOOKUP(B5561,#REF!,2,0),IF(A5561="SUDECAP",VLOOKUP(B5561,#REF!,3,0),IF(A5561="SETOP",VLOOKUP(B5561,#REF!,2,0),IF(A5561="COTAÇÃO",VLOOKUP(B5561,'Mapa Cotações'!$A:$N,2,0)))))),(IF(A5561="SINAPI",VLOOKUP(B5561,#REF!,2,0),IF(A5561="SUDECAP",VLOOKUP(B5561,#REF!,3,0),IF(A5561="SETOP",VLOOKUP(B5561,#REF!,2,0),IF(A5561="COTAÇÃO",VLOOKUP(B5561,'Mapa Cotações'!$A:$N,2,0))))))))</f>
        <v/>
      </c>
      <c r="D5561" s="89" t="str">
        <f>IF(B5561="","",IF($A$8="NÃO DESONERADO",(IF(A5561="SINAPI",VLOOKUP(B5561,#REF!,3,0),IF(A5561="SUDECAP",VLOOKUP(B5561,#REF!,4,0),IF(A5561="SETOP",VLOOKUP(B5561,#REF!,3,0),IF(A5561="COTAÇÃO",VLOOKUP(B5561,'Mapa Cotações'!$A:$N,3,0)))))),(IF(A5561="SINAPI",VLOOKUP(B5561,#REF!,3,0),IF(A5561="SUDECAP",VLOOKUP(B5561,#REF!,4,0),IF(A5561="SETOP",VLOOKUP(B5561,#REF!,3,0),IF(A5561="COTAÇÃO",VLOOKUP(B5561,'Mapa Cotações'!$A:$N,3,0))))))))</f>
        <v/>
      </c>
      <c r="E5561" s="88"/>
      <c r="F5561" s="89" t="str">
        <f>IF(B5561="","",IF($A$8="NÃO DESONERADO",(IF(A5561="SINAPI",VLOOKUP(B5561,#REF!,4,0),IF(A5561="SUDECAP",VLOOKUP(B5561,#REF!,5,0),IF(A5561="SETOP",VLOOKUP(B5561,#REF!,4,0),IF(A5561="COTAÇÃO",VLOOKUP(B5561,'Mapa Cotações'!$A:$N,13,0)))))),(IF(A5561="SINAPI",VLOOKUP(B5561,#REF!,4,0),IF(A5561="SUDECAP",VLOOKUP(B5561,#REF!,5,0),IF(A5561="SETOP",VLOOKUP(B5561,#REF!,4,0),IF(A5561="COTAÇÃO",VLOOKUP(B5561,'Mapa Cotações'!$A:$N,13,0))))))))</f>
        <v/>
      </c>
      <c r="G5561" s="89" t="str">
        <f>IF(D5561="","",E5561*F5561)</f>
        <v/>
      </c>
    </row>
    <row r="5562" spans="1:11">
      <c r="A5562" s="87"/>
      <c r="B5562" s="87"/>
      <c r="C5562" s="278" t="str">
        <f>IF(B5562="","",IF($A$8="NÃO DESONERADO",(IF(A5562="SINAPI",VLOOKUP(B5562,#REF!,2,0),IF(A5562="SUDECAP",VLOOKUP(B5562,#REF!,3,0),IF(A5562="SETOP",VLOOKUP(B5562,#REF!,2,0),IF(A5562="COTAÇÃO",VLOOKUP(B5562,'Mapa Cotações'!$A:$N,2,0)))))),(IF(A5562="SINAPI",VLOOKUP(B5562,#REF!,2,0),IF(A5562="SUDECAP",VLOOKUP(B5562,#REF!,3,0),IF(A5562="SETOP",VLOOKUP(B5562,#REF!,2,0),IF(A5562="COTAÇÃO",VLOOKUP(B5562,'Mapa Cotações'!$A:$N,2,0))))))))</f>
        <v/>
      </c>
      <c r="D5562" s="89" t="str">
        <f>IF(B5562="","",IF($A$8="NÃO DESONERADO",(IF(A5562="SINAPI",VLOOKUP(B5562,#REF!,3,0),IF(A5562="SUDECAP",VLOOKUP(B5562,#REF!,4,0),IF(A5562="SETOP",VLOOKUP(B5562,#REF!,3,0),IF(A5562="COTAÇÃO",VLOOKUP(B5562,'Mapa Cotações'!$A:$N,3,0)))))),(IF(A5562="SINAPI",VLOOKUP(B5562,#REF!,3,0),IF(A5562="SUDECAP",VLOOKUP(B5562,#REF!,4,0),IF(A5562="SETOP",VLOOKUP(B5562,#REF!,3,0),IF(A5562="COTAÇÃO",VLOOKUP(B5562,'Mapa Cotações'!$A:$N,3,0))))))))</f>
        <v/>
      </c>
      <c r="E5562" s="88"/>
      <c r="F5562" s="89" t="str">
        <f>IF(B5562="","",IF($A$8="NÃO DESONERADO",(IF(A5562="SINAPI",VLOOKUP(B5562,#REF!,4,0),IF(A5562="SUDECAP",VLOOKUP(B5562,#REF!,5,0),IF(A5562="SETOP",VLOOKUP(B5562,#REF!,4,0),IF(A5562="COTAÇÃO",VLOOKUP(B5562,'Mapa Cotações'!$A:$N,13,0)))))),(IF(A5562="SINAPI",VLOOKUP(B5562,#REF!,4,0),IF(A5562="SUDECAP",VLOOKUP(B5562,#REF!,5,0),IF(A5562="SETOP",VLOOKUP(B5562,#REF!,4,0),IF(A5562="COTAÇÃO",VLOOKUP(B5562,'Mapa Cotações'!$A:$N,13,0))))))))</f>
        <v/>
      </c>
      <c r="G5562" s="89" t="str">
        <f>IF(D5562="","",E5562*F5562)</f>
        <v/>
      </c>
    </row>
    <row r="5563" spans="1:11">
      <c r="A5563" s="832" t="s">
        <v>1908</v>
      </c>
      <c r="B5563" s="833"/>
      <c r="C5563" s="833"/>
      <c r="D5563" s="833"/>
      <c r="E5563" s="833"/>
      <c r="F5563" s="834"/>
      <c r="G5563" s="90" t="str">
        <f>IF(F5561="","",(SUM(G5561:G5562)))</f>
        <v/>
      </c>
    </row>
    <row r="5564" spans="1:11">
      <c r="A5564" s="91"/>
      <c r="B5564" s="92"/>
      <c r="C5564" s="161"/>
      <c r="D5564" s="93"/>
      <c r="E5564" s="94"/>
      <c r="F5564" s="95"/>
      <c r="G5564" s="96"/>
    </row>
    <row r="5565" spans="1:11">
      <c r="A5565" s="835" t="s">
        <v>1909</v>
      </c>
      <c r="B5565" s="836"/>
      <c r="C5565" s="836"/>
      <c r="D5565" s="836"/>
      <c r="E5565" s="836"/>
      <c r="F5565" s="836"/>
      <c r="G5565" s="837"/>
    </row>
    <row r="5566" spans="1:11">
      <c r="A5566" s="84" t="s">
        <v>1903</v>
      </c>
      <c r="B5566" s="84" t="s">
        <v>131</v>
      </c>
      <c r="C5566" s="160" t="s">
        <v>1904</v>
      </c>
      <c r="D5566" s="84" t="s">
        <v>167</v>
      </c>
      <c r="E5566" s="85" t="s">
        <v>1905</v>
      </c>
      <c r="F5566" s="86" t="s">
        <v>1906</v>
      </c>
      <c r="G5566" s="86" t="s">
        <v>1907</v>
      </c>
      <c r="K5566" s="80"/>
    </row>
    <row r="5567" spans="1:11">
      <c r="A5567" s="87" t="s">
        <v>2</v>
      </c>
      <c r="B5567" s="87">
        <v>88316</v>
      </c>
      <c r="C5567" s="278" t="s">
        <v>1922</v>
      </c>
      <c r="D5567" s="89" t="s">
        <v>2087</v>
      </c>
      <c r="E5567" s="88">
        <v>0.3</v>
      </c>
      <c r="F5567" s="89">
        <v>20.41</v>
      </c>
      <c r="G5567" s="89">
        <f>IF(D5567="","",E5567*F5567)</f>
        <v>6.1230000000000002</v>
      </c>
      <c r="K5567" s="80"/>
    </row>
    <row r="5568" spans="1:11">
      <c r="A5568" s="87"/>
      <c r="B5568" s="87"/>
      <c r="C5568" s="278" t="str">
        <f>IF(B5568="","",IF($A$8="NÃO DESONERADO",(IF(A5568="SINAPI",VLOOKUP(B5568,#REF!,2,0),IF(A5568="SUDECAP",VLOOKUP(B5568,#REF!,3,0),IF(A5568="SETOP",VLOOKUP(B5568,#REF!,2,0),IF(A5568="COTAÇÃO",VLOOKUP(B5568,'Mapa Cotações'!$A:$N,2,0)))))),(IF(A5568="SINAPI",VLOOKUP(B5568,#REF!,2,0),IF(A5568="SUDECAP",VLOOKUP(B5568,#REF!,3,0),IF(A5568="SETOP",VLOOKUP(B5568,#REF!,2,0),IF(A5568="COTAÇÃO",VLOOKUP(B5568,'Mapa Cotações'!$A:$N,2,0))))))))</f>
        <v/>
      </c>
      <c r="D5568" s="89" t="str">
        <f>IF(B5568="","",IF($A$8="NÃO DESONERADO",(IF(A5568="SINAPI",VLOOKUP(B5568,#REF!,3,0),IF(A5568="SUDECAP",VLOOKUP(B5568,#REF!,4,0),IF(A5568="SETOP",VLOOKUP(B5568,#REF!,3,0),IF(A5568="COTAÇÃO",VLOOKUP(B5568,'Mapa Cotações'!$A:$N,3,0)))))),(IF(A5568="SINAPI",VLOOKUP(B5568,#REF!,3,0),IF(A5568="SUDECAP",VLOOKUP(B5568,#REF!,4,0),IF(A5568="SETOP",VLOOKUP(B5568,#REF!,3,0),IF(A5568="COTAÇÃO",VLOOKUP(B5568,'Mapa Cotações'!$A:$N,3,0))))))))</f>
        <v/>
      </c>
      <c r="E5568" s="88"/>
      <c r="F5568" s="89" t="str">
        <f>IF(B5568="","",IF($A$8="NÃO DESONERADO",(IF(A5568="SINAPI",VLOOKUP(B5568,#REF!,4,0),IF(A5568="SUDECAP",VLOOKUP(B5568,#REF!,5,0),IF(A5568="SETOP",VLOOKUP(B5568,#REF!,4,0),IF(A5568="COTAÇÃO",VLOOKUP(B5568,'Mapa Cotações'!$A:$N,13,0)))))),(IF(A5568="SINAPI",VLOOKUP(B5568,#REF!,4,0),IF(A5568="SUDECAP",VLOOKUP(B5568,#REF!,5,0),IF(A5568="SETOP",VLOOKUP(B5568,#REF!,4,0),IF(A5568="COTAÇÃO",VLOOKUP(B5568,'Mapa Cotações'!$A:$N,13,0))))))))</f>
        <v/>
      </c>
      <c r="G5568" s="89" t="str">
        <f>IF(D5568="","",E5568*F5568)</f>
        <v/>
      </c>
      <c r="K5568" s="80"/>
    </row>
    <row r="5569" spans="1:11">
      <c r="A5569" s="832" t="s">
        <v>1908</v>
      </c>
      <c r="B5569" s="833"/>
      <c r="C5569" s="833"/>
      <c r="D5569" s="833"/>
      <c r="E5569" s="833"/>
      <c r="F5569" s="834"/>
      <c r="G5569" s="90">
        <f>IF(F5567="","",(SUM(G5567:G5568)))</f>
        <v>6.1230000000000002</v>
      </c>
      <c r="K5569" s="80"/>
    </row>
    <row r="5570" spans="1:11">
      <c r="A5570" s="91"/>
      <c r="B5570" s="92"/>
      <c r="C5570" s="162"/>
      <c r="D5570" s="92"/>
      <c r="E5570" s="97"/>
      <c r="F5570" s="98"/>
      <c r="G5570" s="96"/>
      <c r="K5570" s="80"/>
    </row>
    <row r="5571" spans="1:11">
      <c r="A5571" s="835" t="s">
        <v>1912</v>
      </c>
      <c r="B5571" s="836"/>
      <c r="C5571" s="836"/>
      <c r="D5571" s="836"/>
      <c r="E5571" s="836"/>
      <c r="F5571" s="836"/>
      <c r="G5571" s="837"/>
      <c r="K5571" s="80"/>
    </row>
    <row r="5572" spans="1:11">
      <c r="A5572" s="84" t="s">
        <v>1903</v>
      </c>
      <c r="B5572" s="84" t="s">
        <v>131</v>
      </c>
      <c r="C5572" s="160" t="s">
        <v>1904</v>
      </c>
      <c r="D5572" s="84" t="s">
        <v>167</v>
      </c>
      <c r="E5572" s="85" t="s">
        <v>1905</v>
      </c>
      <c r="F5572" s="86" t="s">
        <v>1906</v>
      </c>
      <c r="G5572" s="86" t="s">
        <v>1907</v>
      </c>
      <c r="K5572" s="80"/>
    </row>
    <row r="5573" spans="1:11">
      <c r="A5573" s="87"/>
      <c r="B5573" s="87"/>
      <c r="C5573" s="278" t="str">
        <f>IF(B5573="","",IF($A$8="NÃO DESONERADO",(IF(A5573="SINAPI",VLOOKUP(B5573,#REF!,2,0),IF(A5573="SUDECAP",VLOOKUP(B5573,#REF!,3,0),IF(A5573="SETOP",VLOOKUP(B5573,#REF!,2,0),IF(A5573="COTAÇÃO",VLOOKUP(B5573,'Mapa Cotações'!$A:$N,2,0)))))),(IF(A5573="SINAPI",VLOOKUP(B5573,#REF!,2,0),IF(A5573="SUDECAP",VLOOKUP(B5573,#REF!,3,0),IF(A5573="SETOP",VLOOKUP(B5573,#REF!,2,0),IF(A5573="COTAÇÃO",VLOOKUP(B5573,'Mapa Cotações'!$A:$N,2,0))))))))</f>
        <v/>
      </c>
      <c r="D5573" s="89" t="str">
        <f>IF(B5573="","",IF($A$8="NÃO DESONERADO",(IF(A5573="SINAPI",VLOOKUP(B5573,#REF!,3,0),IF(A5573="SUDECAP",VLOOKUP(B5573,#REF!,4,0),IF(A5573="SETOP",VLOOKUP(B5573,#REF!,3,0),IF(A5573="COTAÇÃO",VLOOKUP(B5573,'Mapa Cotações'!$A:$N,3,0)))))),(IF(A5573="SINAPI",VLOOKUP(B5573,#REF!,3,0),IF(A5573="SUDECAP",VLOOKUP(B5573,#REF!,4,0),IF(A5573="SETOP",VLOOKUP(B5573,#REF!,3,0),IF(A5573="COTAÇÃO",VLOOKUP(B5573,'Mapa Cotações'!$A:$N,3,0))))))))</f>
        <v/>
      </c>
      <c r="E5573" s="88"/>
      <c r="F5573" s="89" t="str">
        <f>IF(B5573="","",IF($A$8="NÃO DESONERADO",(IF(A5573="SINAPI",VLOOKUP(B5573,#REF!,4,0),IF(A5573="SUDECAP",VLOOKUP(B5573,#REF!,5,0),IF(A5573="SETOP",VLOOKUP(B5573,#REF!,4,0),IF(A5573="COTAÇÃO",VLOOKUP(B5573,'Mapa Cotações'!$A:$N,13,0)))))),(IF(A5573="SINAPI",VLOOKUP(B5573,#REF!,4,0),IF(A5573="SUDECAP",VLOOKUP(B5573,#REF!,5,0),IF(A5573="SETOP",VLOOKUP(B5573,#REF!,4,0),IF(A5573="COTAÇÃO",VLOOKUP(B5573,'Mapa Cotações'!$A:$N,13,0))))))))</f>
        <v/>
      </c>
      <c r="G5573" s="89" t="str">
        <f>IF(D5573="","",E5573*F5573)</f>
        <v/>
      </c>
      <c r="K5573" s="80"/>
    </row>
    <row r="5574" spans="1:11">
      <c r="A5574" s="87"/>
      <c r="B5574" s="87"/>
      <c r="C5574" s="278" t="str">
        <f>IF(B5574="","",IF($A$8="NÃO DESONERADO",(IF(A5574="SINAPI",VLOOKUP(B5574,#REF!,2,0),IF(A5574="SUDECAP",VLOOKUP(B5574,#REF!,3,0),IF(A5574="SETOP",VLOOKUP(B5574,#REF!,2,0),IF(A5574="COTAÇÃO",VLOOKUP(B5574,'Mapa Cotações'!$A:$N,2,0)))))),(IF(A5574="SINAPI",VLOOKUP(B5574,#REF!,2,0),IF(A5574="SUDECAP",VLOOKUP(B5574,#REF!,3,0),IF(A5574="SETOP",VLOOKUP(B5574,#REF!,2,0),IF(A5574="COTAÇÃO",VLOOKUP(B5574,'Mapa Cotações'!$A:$N,2,0))))))))</f>
        <v/>
      </c>
      <c r="D5574" s="89" t="str">
        <f>IF(B5574="","",IF($A$8="NÃO DESONERADO",(IF(A5574="SINAPI",VLOOKUP(B5574,#REF!,3,0),IF(A5574="SUDECAP",VLOOKUP(B5574,#REF!,4,0),IF(A5574="SETOP",VLOOKUP(B5574,#REF!,3,0),IF(A5574="COTAÇÃO",VLOOKUP(B5574,'Mapa Cotações'!$A:$N,3,0)))))),(IF(A5574="SINAPI",VLOOKUP(B5574,#REF!,3,0),IF(A5574="SUDECAP",VLOOKUP(B5574,#REF!,4,0),IF(A5574="SETOP",VLOOKUP(B5574,#REF!,3,0),IF(A5574="COTAÇÃO",VLOOKUP(B5574,'Mapa Cotações'!$A:$N,3,0))))))))</f>
        <v/>
      </c>
      <c r="E5574" s="88"/>
      <c r="F5574" s="89" t="str">
        <f>IF(B5574="","",IF($A$8="NÃO DESONERADO",(IF(A5574="SINAPI",VLOOKUP(B5574,#REF!,4,0),IF(A5574="SUDECAP",VLOOKUP(B5574,#REF!,5,0),IF(A5574="SETOP",VLOOKUP(B5574,#REF!,4,0),IF(A5574="COTAÇÃO",VLOOKUP(B5574,'Mapa Cotações'!$A:$N,13,0)))))),(IF(A5574="SINAPI",VLOOKUP(B5574,#REF!,4,0),IF(A5574="SUDECAP",VLOOKUP(B5574,#REF!,5,0),IF(A5574="SETOP",VLOOKUP(B5574,#REF!,4,0),IF(A5574="COTAÇÃO",VLOOKUP(B5574,'Mapa Cotações'!$A:$N,13,0))))))))</f>
        <v/>
      </c>
      <c r="G5574" s="89" t="str">
        <f>IF(D5574="","",E5574*F5574)</f>
        <v/>
      </c>
      <c r="K5574" s="80"/>
    </row>
    <row r="5575" spans="1:11">
      <c r="A5575" s="832" t="s">
        <v>1908</v>
      </c>
      <c r="B5575" s="833" t="s">
        <v>1908</v>
      </c>
      <c r="C5575" s="833"/>
      <c r="D5575" s="833"/>
      <c r="E5575" s="833"/>
      <c r="F5575" s="834"/>
      <c r="G5575" s="90" t="str">
        <f>IF(F5573="","",(SUM(G5573:G5574)))</f>
        <v/>
      </c>
      <c r="K5575" s="80"/>
    </row>
    <row r="5576" spans="1:11" ht="13.5" thickBot="1">
      <c r="A5576" s="91"/>
      <c r="B5576" s="92"/>
      <c r="C5576" s="163"/>
      <c r="D5576" s="99"/>
      <c r="E5576" s="100"/>
      <c r="F5576" s="101"/>
      <c r="G5576" s="102"/>
      <c r="K5576" s="80"/>
    </row>
    <row r="5577" spans="1:11" ht="13.5" thickBot="1">
      <c r="A5577" s="838" t="s">
        <v>1259</v>
      </c>
      <c r="B5577" s="839"/>
      <c r="C5577" s="839"/>
      <c r="D5577" s="839"/>
      <c r="E5577" s="839"/>
      <c r="F5577" s="840"/>
      <c r="G5577" s="103">
        <f>SUM(G5563,G5569,G5575)</f>
        <v>6.1230000000000002</v>
      </c>
      <c r="K5577" s="80"/>
    </row>
    <row r="5579" spans="1:11" ht="13.5" thickBot="1"/>
    <row r="5580" spans="1:11" ht="13.5" thickBot="1">
      <c r="A5580" s="237" t="s">
        <v>131</v>
      </c>
      <c r="B5580" s="190" t="s">
        <v>27</v>
      </c>
      <c r="C5580" s="841" t="s">
        <v>1281</v>
      </c>
      <c r="D5580" s="841"/>
      <c r="E5580" s="841"/>
      <c r="F5580" s="841"/>
      <c r="G5580" s="81" t="s">
        <v>127</v>
      </c>
      <c r="I5580" s="484">
        <f>COUNTA(I19:I5578)</f>
        <v>200</v>
      </c>
    </row>
    <row r="5581" spans="1:11">
      <c r="A5581" s="179" t="s">
        <v>270</v>
      </c>
      <c r="B5581" s="82"/>
      <c r="C5581" s="830" t="str">
        <f>'Planilha Orçamentária'!D85</f>
        <v>Curva 90º em PVC, cor marron para conexões soldáveis, Linha PBS conforme NBR 5648 - diâmetro = 8" Ref.: Tigre ou equivalente</v>
      </c>
      <c r="D5581" s="831"/>
      <c r="E5581" s="831"/>
      <c r="F5581" s="186">
        <f>G5601</f>
        <v>563.91357499999992</v>
      </c>
      <c r="G5581" s="83" t="s">
        <v>167</v>
      </c>
    </row>
    <row r="5582" spans="1:11">
      <c r="A5582" s="818" t="s">
        <v>1902</v>
      </c>
      <c r="B5582" s="819"/>
      <c r="C5582" s="819"/>
      <c r="D5582" s="819"/>
      <c r="E5582" s="819"/>
      <c r="F5582" s="819"/>
      <c r="G5582" s="820"/>
    </row>
    <row r="5583" spans="1:11">
      <c r="A5583" s="84" t="s">
        <v>1903</v>
      </c>
      <c r="B5583" s="84" t="s">
        <v>131</v>
      </c>
      <c r="C5583" s="160" t="s">
        <v>1904</v>
      </c>
      <c r="D5583" s="84" t="s">
        <v>167</v>
      </c>
      <c r="E5583" s="85" t="s">
        <v>1905</v>
      </c>
      <c r="F5583" s="86" t="s">
        <v>1906</v>
      </c>
      <c r="G5583" s="86" t="s">
        <v>1907</v>
      </c>
    </row>
    <row r="5584" spans="1:11" ht="36">
      <c r="A5584" s="87" t="s">
        <v>2</v>
      </c>
      <c r="B5584" s="87">
        <v>6317</v>
      </c>
      <c r="C5584" s="278" t="str">
        <f>C5581</f>
        <v>Curva 90º em PVC, cor marron para conexões soldáveis, Linha PBS conforme NBR 5648 - diâmetro = 8" Ref.: Tigre ou equivalente</v>
      </c>
      <c r="D5584" s="89" t="s">
        <v>1930</v>
      </c>
      <c r="E5584" s="88">
        <v>1</v>
      </c>
      <c r="F5584" s="89">
        <f>'Mapa Cotações'!M171</f>
        <v>540.79999999999995</v>
      </c>
      <c r="G5584" s="89">
        <f>F5584</f>
        <v>540.79999999999995</v>
      </c>
    </row>
    <row r="5585" spans="1:7">
      <c r="A5585" s="87"/>
      <c r="B5585" s="87"/>
      <c r="C5585" s="278"/>
      <c r="D5585" s="89"/>
      <c r="E5585" s="88"/>
      <c r="F5585" s="89"/>
      <c r="G5585" s="89"/>
    </row>
    <row r="5586" spans="1:7">
      <c r="A5586" s="87"/>
      <c r="B5586" s="87"/>
      <c r="C5586" s="278"/>
      <c r="D5586" s="89"/>
      <c r="E5586" s="88"/>
      <c r="F5586" s="89"/>
      <c r="G5586" s="89"/>
    </row>
    <row r="5587" spans="1:7">
      <c r="A5587" s="832" t="s">
        <v>1908</v>
      </c>
      <c r="B5587" s="833"/>
      <c r="C5587" s="833"/>
      <c r="D5587" s="833"/>
      <c r="E5587" s="833"/>
      <c r="F5587" s="834"/>
      <c r="G5587" s="90">
        <f>SUM(G5584:G5586)</f>
        <v>540.79999999999995</v>
      </c>
    </row>
    <row r="5588" spans="1:7">
      <c r="A5588" s="91"/>
      <c r="B5588" s="92"/>
      <c r="C5588" s="161"/>
      <c r="D5588" s="93"/>
      <c r="E5588" s="94"/>
      <c r="F5588" s="95"/>
      <c r="G5588" s="96"/>
    </row>
    <row r="5589" spans="1:7">
      <c r="A5589" s="835" t="s">
        <v>1909</v>
      </c>
      <c r="B5589" s="836"/>
      <c r="C5589" s="836"/>
      <c r="D5589" s="836"/>
      <c r="E5589" s="836"/>
      <c r="F5589" s="836"/>
      <c r="G5589" s="837"/>
    </row>
    <row r="5590" spans="1:7">
      <c r="A5590" s="84" t="s">
        <v>1903</v>
      </c>
      <c r="B5590" s="84" t="s">
        <v>131</v>
      </c>
      <c r="C5590" s="160" t="s">
        <v>1904</v>
      </c>
      <c r="D5590" s="84" t="s">
        <v>167</v>
      </c>
      <c r="E5590" s="85" t="s">
        <v>1905</v>
      </c>
      <c r="F5590" s="86" t="s">
        <v>1906</v>
      </c>
      <c r="G5590" s="86" t="s">
        <v>1907</v>
      </c>
    </row>
    <row r="5591" spans="1:7" ht="24">
      <c r="A5591" s="87" t="s">
        <v>2</v>
      </c>
      <c r="B5591" s="87">
        <v>88248</v>
      </c>
      <c r="C5591" s="278" t="s">
        <v>1947</v>
      </c>
      <c r="D5591" s="89" t="s">
        <v>137</v>
      </c>
      <c r="E5591" s="88">
        <v>0.48375000000000001</v>
      </c>
      <c r="F5591" s="89">
        <v>21.45</v>
      </c>
      <c r="G5591" s="89">
        <v>10.3764375</v>
      </c>
    </row>
    <row r="5592" spans="1:7" ht="24">
      <c r="A5592" s="87" t="s">
        <v>2</v>
      </c>
      <c r="B5592" s="87">
        <v>88267</v>
      </c>
      <c r="C5592" s="278" t="s">
        <v>1949</v>
      </c>
      <c r="D5592" s="89" t="s">
        <v>137</v>
      </c>
      <c r="E5592" s="88">
        <v>0.48375000000000001</v>
      </c>
      <c r="F5592" s="89">
        <v>26.33</v>
      </c>
      <c r="G5592" s="89">
        <v>12.737137499999999</v>
      </c>
    </row>
    <row r="5593" spans="1:7">
      <c r="A5593" s="832" t="s">
        <v>1908</v>
      </c>
      <c r="B5593" s="833"/>
      <c r="C5593" s="833"/>
      <c r="D5593" s="833"/>
      <c r="E5593" s="833"/>
      <c r="F5593" s="834"/>
      <c r="G5593" s="90">
        <v>23.113574999999997</v>
      </c>
    </row>
    <row r="5594" spans="1:7">
      <c r="A5594" s="91"/>
      <c r="B5594" s="92"/>
      <c r="C5594" s="162"/>
      <c r="D5594" s="92"/>
      <c r="E5594" s="97"/>
      <c r="F5594" s="98"/>
      <c r="G5594" s="96"/>
    </row>
    <row r="5595" spans="1:7">
      <c r="A5595" s="835" t="s">
        <v>1912</v>
      </c>
      <c r="B5595" s="836"/>
      <c r="C5595" s="836"/>
      <c r="D5595" s="836"/>
      <c r="E5595" s="836"/>
      <c r="F5595" s="836"/>
      <c r="G5595" s="837"/>
    </row>
    <row r="5596" spans="1:7">
      <c r="A5596" s="84" t="s">
        <v>1903</v>
      </c>
      <c r="B5596" s="84" t="s">
        <v>131</v>
      </c>
      <c r="C5596" s="160" t="s">
        <v>1904</v>
      </c>
      <c r="D5596" s="84" t="s">
        <v>167</v>
      </c>
      <c r="E5596" s="85" t="s">
        <v>1905</v>
      </c>
      <c r="F5596" s="86" t="s">
        <v>1906</v>
      </c>
      <c r="G5596" s="86" t="s">
        <v>1907</v>
      </c>
    </row>
    <row r="5597" spans="1:7">
      <c r="A5597" s="87"/>
      <c r="B5597" s="87"/>
      <c r="C5597" s="278" t="s">
        <v>34</v>
      </c>
      <c r="D5597" s="89" t="s">
        <v>34</v>
      </c>
      <c r="E5597" s="88"/>
      <c r="F5597" s="89" t="s">
        <v>34</v>
      </c>
      <c r="G5597" s="89" t="s">
        <v>34</v>
      </c>
    </row>
    <row r="5598" spans="1:7">
      <c r="A5598" s="87"/>
      <c r="B5598" s="87"/>
      <c r="C5598" s="278" t="s">
        <v>34</v>
      </c>
      <c r="D5598" s="89" t="s">
        <v>34</v>
      </c>
      <c r="E5598" s="88"/>
      <c r="F5598" s="89" t="s">
        <v>34</v>
      </c>
      <c r="G5598" s="89" t="s">
        <v>34</v>
      </c>
    </row>
    <row r="5599" spans="1:7">
      <c r="A5599" s="832" t="s">
        <v>1908</v>
      </c>
      <c r="B5599" s="833" t="s">
        <v>1908</v>
      </c>
      <c r="C5599" s="833"/>
      <c r="D5599" s="833"/>
      <c r="E5599" s="833"/>
      <c r="F5599" s="834"/>
      <c r="G5599" s="90" t="s">
        <v>34</v>
      </c>
    </row>
    <row r="5600" spans="1:7" ht="13.5" thickBot="1">
      <c r="A5600" s="91"/>
      <c r="B5600" s="92"/>
      <c r="C5600" s="163"/>
      <c r="D5600" s="99"/>
      <c r="E5600" s="100"/>
      <c r="F5600" s="101"/>
      <c r="G5600" s="102"/>
    </row>
    <row r="5601" spans="1:7" ht="13.5" thickBot="1">
      <c r="A5601" s="838" t="s">
        <v>1259</v>
      </c>
      <c r="B5601" s="839"/>
      <c r="C5601" s="839"/>
      <c r="D5601" s="839"/>
      <c r="E5601" s="839"/>
      <c r="F5601" s="840"/>
      <c r="G5601" s="103">
        <f>G5593+G5587</f>
        <v>563.91357499999992</v>
      </c>
    </row>
    <row r="5604" spans="1:7">
      <c r="A5604" s="237" t="s">
        <v>131</v>
      </c>
      <c r="B5604" s="190" t="s">
        <v>27</v>
      </c>
      <c r="C5604" s="841" t="s">
        <v>1281</v>
      </c>
      <c r="D5604" s="841"/>
      <c r="E5604" s="841"/>
      <c r="F5604" s="841"/>
      <c r="G5604" s="81" t="s">
        <v>127</v>
      </c>
    </row>
    <row r="5605" spans="1:7">
      <c r="A5605" s="179" t="s">
        <v>273</v>
      </c>
      <c r="B5605" s="82"/>
      <c r="C5605" s="830" t="str">
        <f>'Planilha Orçamentária'!D86</f>
        <v>Flange com furos em PVC, cor marron para conexões soldáveis, Linha PBS conforme NBR 5648  Ref.: Tigre ou equivalente</v>
      </c>
      <c r="D5605" s="831"/>
      <c r="E5605" s="831"/>
      <c r="F5605" s="186">
        <f>G5625</f>
        <v>765.01357499999995</v>
      </c>
      <c r="G5605" s="83" t="s">
        <v>167</v>
      </c>
    </row>
    <row r="5606" spans="1:7">
      <c r="A5606" s="818" t="s">
        <v>1902</v>
      </c>
      <c r="B5606" s="819"/>
      <c r="C5606" s="819"/>
      <c r="D5606" s="819"/>
      <c r="E5606" s="819"/>
      <c r="F5606" s="819"/>
      <c r="G5606" s="820"/>
    </row>
    <row r="5607" spans="1:7">
      <c r="A5607" s="84" t="s">
        <v>1903</v>
      </c>
      <c r="B5607" s="84" t="s">
        <v>131</v>
      </c>
      <c r="C5607" s="160" t="s">
        <v>1904</v>
      </c>
      <c r="D5607" s="84" t="s">
        <v>167</v>
      </c>
      <c r="E5607" s="85" t="s">
        <v>1905</v>
      </c>
      <c r="F5607" s="86" t="s">
        <v>1906</v>
      </c>
      <c r="G5607" s="86" t="s">
        <v>1907</v>
      </c>
    </row>
    <row r="5608" spans="1:7" ht="36">
      <c r="A5608" s="87" t="s">
        <v>2</v>
      </c>
      <c r="B5608" s="87">
        <v>6317</v>
      </c>
      <c r="C5608" s="278" t="str">
        <f>C5605</f>
        <v>Flange com furos em PVC, cor marron para conexões soldáveis, Linha PBS conforme NBR 5648  Ref.: Tigre ou equivalente</v>
      </c>
      <c r="D5608" s="89" t="s">
        <v>1930</v>
      </c>
      <c r="E5608" s="88">
        <v>1</v>
      </c>
      <c r="F5608" s="89">
        <f>'Mapa Cotações'!M172</f>
        <v>741.9</v>
      </c>
      <c r="G5608" s="89">
        <f>F5608</f>
        <v>741.9</v>
      </c>
    </row>
    <row r="5609" spans="1:7">
      <c r="A5609" s="87"/>
      <c r="B5609" s="87"/>
      <c r="C5609" s="278"/>
      <c r="D5609" s="89"/>
      <c r="E5609" s="88"/>
      <c r="F5609" s="89"/>
      <c r="G5609" s="89"/>
    </row>
    <row r="5610" spans="1:7">
      <c r="A5610" s="87"/>
      <c r="B5610" s="87"/>
      <c r="C5610" s="278"/>
      <c r="D5610" s="89"/>
      <c r="E5610" s="88"/>
      <c r="F5610" s="89"/>
      <c r="G5610" s="89"/>
    </row>
    <row r="5611" spans="1:7">
      <c r="A5611" s="832" t="s">
        <v>1908</v>
      </c>
      <c r="B5611" s="833"/>
      <c r="C5611" s="833"/>
      <c r="D5611" s="833"/>
      <c r="E5611" s="833"/>
      <c r="F5611" s="834"/>
      <c r="G5611" s="90">
        <f>SUM(G5608:G5610)</f>
        <v>741.9</v>
      </c>
    </row>
    <row r="5612" spans="1:7">
      <c r="A5612" s="91"/>
      <c r="B5612" s="92"/>
      <c r="C5612" s="161"/>
      <c r="D5612" s="93"/>
      <c r="E5612" s="94"/>
      <c r="F5612" s="95"/>
      <c r="G5612" s="96"/>
    </row>
    <row r="5613" spans="1:7">
      <c r="A5613" s="835" t="s">
        <v>1909</v>
      </c>
      <c r="B5613" s="836"/>
      <c r="C5613" s="836"/>
      <c r="D5613" s="836"/>
      <c r="E5613" s="836"/>
      <c r="F5613" s="836"/>
      <c r="G5613" s="837"/>
    </row>
    <row r="5614" spans="1:7">
      <c r="A5614" s="84" t="s">
        <v>1903</v>
      </c>
      <c r="B5614" s="84" t="s">
        <v>131</v>
      </c>
      <c r="C5614" s="160" t="s">
        <v>1904</v>
      </c>
      <c r="D5614" s="84" t="s">
        <v>167</v>
      </c>
      <c r="E5614" s="85" t="s">
        <v>1905</v>
      </c>
      <c r="F5614" s="86" t="s">
        <v>1906</v>
      </c>
      <c r="G5614" s="86" t="s">
        <v>1907</v>
      </c>
    </row>
    <row r="5615" spans="1:7" ht="24">
      <c r="A5615" s="87" t="s">
        <v>2</v>
      </c>
      <c r="B5615" s="87">
        <v>88248</v>
      </c>
      <c r="C5615" s="278" t="s">
        <v>1947</v>
      </c>
      <c r="D5615" s="89" t="s">
        <v>137</v>
      </c>
      <c r="E5615" s="88">
        <v>0.48375000000000001</v>
      </c>
      <c r="F5615" s="89">
        <v>21.45</v>
      </c>
      <c r="G5615" s="89">
        <v>10.3764375</v>
      </c>
    </row>
    <row r="5616" spans="1:7" ht="24">
      <c r="A5616" s="87" t="s">
        <v>2</v>
      </c>
      <c r="B5616" s="87">
        <v>88267</v>
      </c>
      <c r="C5616" s="278" t="s">
        <v>1949</v>
      </c>
      <c r="D5616" s="89" t="s">
        <v>137</v>
      </c>
      <c r="E5616" s="88">
        <v>0.48375000000000001</v>
      </c>
      <c r="F5616" s="89">
        <v>26.33</v>
      </c>
      <c r="G5616" s="89">
        <v>12.737137499999999</v>
      </c>
    </row>
    <row r="5617" spans="1:7">
      <c r="A5617" s="832" t="s">
        <v>1908</v>
      </c>
      <c r="B5617" s="833"/>
      <c r="C5617" s="833"/>
      <c r="D5617" s="833"/>
      <c r="E5617" s="833"/>
      <c r="F5617" s="834"/>
      <c r="G5617" s="90">
        <v>23.113574999999997</v>
      </c>
    </row>
    <row r="5618" spans="1:7">
      <c r="A5618" s="91"/>
      <c r="B5618" s="92"/>
      <c r="C5618" s="162"/>
      <c r="D5618" s="92"/>
      <c r="E5618" s="97"/>
      <c r="F5618" s="98"/>
      <c r="G5618" s="96"/>
    </row>
    <row r="5619" spans="1:7">
      <c r="A5619" s="835" t="s">
        <v>1912</v>
      </c>
      <c r="B5619" s="836"/>
      <c r="C5619" s="836"/>
      <c r="D5619" s="836"/>
      <c r="E5619" s="836"/>
      <c r="F5619" s="836"/>
      <c r="G5619" s="837"/>
    </row>
    <row r="5620" spans="1:7">
      <c r="A5620" s="84" t="s">
        <v>1903</v>
      </c>
      <c r="B5620" s="84" t="s">
        <v>131</v>
      </c>
      <c r="C5620" s="160" t="s">
        <v>1904</v>
      </c>
      <c r="D5620" s="84" t="s">
        <v>167</v>
      </c>
      <c r="E5620" s="85" t="s">
        <v>1905</v>
      </c>
      <c r="F5620" s="86" t="s">
        <v>1906</v>
      </c>
      <c r="G5620" s="86" t="s">
        <v>1907</v>
      </c>
    </row>
    <row r="5621" spans="1:7">
      <c r="A5621" s="87"/>
      <c r="B5621" s="87"/>
      <c r="C5621" s="278" t="s">
        <v>34</v>
      </c>
      <c r="D5621" s="89" t="s">
        <v>34</v>
      </c>
      <c r="E5621" s="88"/>
      <c r="F5621" s="89" t="s">
        <v>34</v>
      </c>
      <c r="G5621" s="89" t="s">
        <v>34</v>
      </c>
    </row>
    <row r="5622" spans="1:7">
      <c r="A5622" s="87"/>
      <c r="B5622" s="87"/>
      <c r="C5622" s="278" t="s">
        <v>34</v>
      </c>
      <c r="D5622" s="89" t="s">
        <v>34</v>
      </c>
      <c r="E5622" s="88"/>
      <c r="F5622" s="89" t="s">
        <v>34</v>
      </c>
      <c r="G5622" s="89" t="s">
        <v>34</v>
      </c>
    </row>
    <row r="5623" spans="1:7">
      <c r="A5623" s="832" t="s">
        <v>1908</v>
      </c>
      <c r="B5623" s="833" t="s">
        <v>1908</v>
      </c>
      <c r="C5623" s="833"/>
      <c r="D5623" s="833"/>
      <c r="E5623" s="833"/>
      <c r="F5623" s="834"/>
      <c r="G5623" s="90" t="s">
        <v>34</v>
      </c>
    </row>
    <row r="5624" spans="1:7" ht="13.5" thickBot="1">
      <c r="A5624" s="91"/>
      <c r="B5624" s="92"/>
      <c r="C5624" s="163"/>
      <c r="D5624" s="99"/>
      <c r="E5624" s="100"/>
      <c r="F5624" s="101"/>
      <c r="G5624" s="102"/>
    </row>
    <row r="5625" spans="1:7" ht="13.5" thickBot="1">
      <c r="A5625" s="838" t="s">
        <v>1259</v>
      </c>
      <c r="B5625" s="839"/>
      <c r="C5625" s="839"/>
      <c r="D5625" s="839"/>
      <c r="E5625" s="839"/>
      <c r="F5625" s="840"/>
      <c r="G5625" s="103">
        <f>G5617+G5611</f>
        <v>765.01357499999995</v>
      </c>
    </row>
  </sheetData>
  <mergeCells count="2089">
    <mergeCell ref="A17:G18"/>
    <mergeCell ref="C4744:E4744"/>
    <mergeCell ref="A4745:G4745"/>
    <mergeCell ref="A4749:F4749"/>
    <mergeCell ref="A4751:G4751"/>
    <mergeCell ref="A4755:F4755"/>
    <mergeCell ref="A4757:G4757"/>
    <mergeCell ref="A4765:F4765"/>
    <mergeCell ref="A4767:F4767"/>
    <mergeCell ref="C4719:F4719"/>
    <mergeCell ref="C4720:E4720"/>
    <mergeCell ref="A4721:G4721"/>
    <mergeCell ref="A4725:F4725"/>
    <mergeCell ref="A4727:G4727"/>
    <mergeCell ref="A4731:F4731"/>
    <mergeCell ref="A4733:G4733"/>
    <mergeCell ref="A4738:F4738"/>
    <mergeCell ref="A4740:F4740"/>
    <mergeCell ref="A4696:G4696"/>
    <mergeCell ref="A4700:F4700"/>
    <mergeCell ref="A4702:G4702"/>
    <mergeCell ref="A4706:F4706"/>
    <mergeCell ref="A4708:G4708"/>
    <mergeCell ref="A4714:F4714"/>
    <mergeCell ref="A4716:F4716"/>
    <mergeCell ref="C4669:F4669"/>
    <mergeCell ref="C4670:E4670"/>
    <mergeCell ref="A4671:G4671"/>
    <mergeCell ref="A4675:F4675"/>
    <mergeCell ref="A4677:G4677"/>
    <mergeCell ref="A4681:F4681"/>
    <mergeCell ref="A4683:G4683"/>
    <mergeCell ref="A4689:F4689"/>
    <mergeCell ref="A4691:F4691"/>
    <mergeCell ref="C4743:F4743"/>
    <mergeCell ref="A4650:F4650"/>
    <mergeCell ref="A4652:G4652"/>
    <mergeCell ref="A4656:F4656"/>
    <mergeCell ref="A4658:G4658"/>
    <mergeCell ref="A4664:F4664"/>
    <mergeCell ref="A4666:F4666"/>
    <mergeCell ref="C4619:F4619"/>
    <mergeCell ref="C4620:E4620"/>
    <mergeCell ref="A4621:G4621"/>
    <mergeCell ref="A4625:F4625"/>
    <mergeCell ref="A4627:G4627"/>
    <mergeCell ref="A4631:F4631"/>
    <mergeCell ref="A4633:G4633"/>
    <mergeCell ref="A4639:F4639"/>
    <mergeCell ref="A4641:F4641"/>
    <mergeCell ref="C4694:F4694"/>
    <mergeCell ref="C4695:E4695"/>
    <mergeCell ref="A4604:G4604"/>
    <mergeCell ref="A4608:F4608"/>
    <mergeCell ref="A4610:G4610"/>
    <mergeCell ref="A4614:F4614"/>
    <mergeCell ref="A4616:F4616"/>
    <mergeCell ref="C4572:F4572"/>
    <mergeCell ref="C4573:E4573"/>
    <mergeCell ref="A4574:G4574"/>
    <mergeCell ref="A4578:F4578"/>
    <mergeCell ref="A4580:G4580"/>
    <mergeCell ref="A4585:F4585"/>
    <mergeCell ref="A4587:G4587"/>
    <mergeCell ref="A4591:F4591"/>
    <mergeCell ref="A4593:F4593"/>
    <mergeCell ref="C4644:F4644"/>
    <mergeCell ref="C4645:E4645"/>
    <mergeCell ref="A4646:G4646"/>
    <mergeCell ref="A4541:G4541"/>
    <mergeCell ref="A4545:F4545"/>
    <mergeCell ref="A4547:F4547"/>
    <mergeCell ref="C4483:F4483"/>
    <mergeCell ref="C4484:E4484"/>
    <mergeCell ref="A4485:G4485"/>
    <mergeCell ref="A4489:F4489"/>
    <mergeCell ref="A4491:G4491"/>
    <mergeCell ref="A4495:F4495"/>
    <mergeCell ref="A4497:G4497"/>
    <mergeCell ref="A4501:F4501"/>
    <mergeCell ref="A4503:F4503"/>
    <mergeCell ref="A4525:F4525"/>
    <mergeCell ref="C4596:F4596"/>
    <mergeCell ref="C4597:E4597"/>
    <mergeCell ref="A4598:G4598"/>
    <mergeCell ref="A4602:F4602"/>
    <mergeCell ref="C4549:F4549"/>
    <mergeCell ref="C4550:E4550"/>
    <mergeCell ref="A4551:G4551"/>
    <mergeCell ref="A4555:F4555"/>
    <mergeCell ref="A4557:G4557"/>
    <mergeCell ref="A4561:F4561"/>
    <mergeCell ref="A4563:G4563"/>
    <mergeCell ref="A4567:F4567"/>
    <mergeCell ref="A4569:F4569"/>
    <mergeCell ref="C4527:F4527"/>
    <mergeCell ref="C4528:E4528"/>
    <mergeCell ref="A4529:G4529"/>
    <mergeCell ref="A4533:F4533"/>
    <mergeCell ref="A4535:G4535"/>
    <mergeCell ref="A4539:F4539"/>
    <mergeCell ref="C4439:F4439"/>
    <mergeCell ref="C4440:E4440"/>
    <mergeCell ref="A4441:G4441"/>
    <mergeCell ref="A4445:F4445"/>
    <mergeCell ref="A4447:G4447"/>
    <mergeCell ref="A4451:F4451"/>
    <mergeCell ref="A4453:G4453"/>
    <mergeCell ref="A4457:F4457"/>
    <mergeCell ref="A4459:F4459"/>
    <mergeCell ref="C4394:F4394"/>
    <mergeCell ref="C4395:E4395"/>
    <mergeCell ref="A4396:G4396"/>
    <mergeCell ref="A4400:F4400"/>
    <mergeCell ref="A4402:G4402"/>
    <mergeCell ref="A4406:F4406"/>
    <mergeCell ref="A4408:G4408"/>
    <mergeCell ref="A4412:F4412"/>
    <mergeCell ref="A4414:F4414"/>
    <mergeCell ref="A4436:F4436"/>
    <mergeCell ref="C4349:F4349"/>
    <mergeCell ref="C4350:E4350"/>
    <mergeCell ref="A4351:G4351"/>
    <mergeCell ref="A4355:F4355"/>
    <mergeCell ref="A4357:G4357"/>
    <mergeCell ref="A4361:F4361"/>
    <mergeCell ref="A4363:G4363"/>
    <mergeCell ref="A4367:F4367"/>
    <mergeCell ref="A4369:F4369"/>
    <mergeCell ref="C4304:F4304"/>
    <mergeCell ref="C4305:E4305"/>
    <mergeCell ref="A4306:G4306"/>
    <mergeCell ref="A4310:F4310"/>
    <mergeCell ref="A4312:G4312"/>
    <mergeCell ref="A4316:F4316"/>
    <mergeCell ref="A4318:G4318"/>
    <mergeCell ref="A4322:F4322"/>
    <mergeCell ref="A4324:F4324"/>
    <mergeCell ref="A4346:F4346"/>
    <mergeCell ref="C4260:F4260"/>
    <mergeCell ref="C4261:E4261"/>
    <mergeCell ref="A4262:G4262"/>
    <mergeCell ref="A4266:F4266"/>
    <mergeCell ref="A4268:G4268"/>
    <mergeCell ref="A4272:F4272"/>
    <mergeCell ref="A4274:G4274"/>
    <mergeCell ref="A4278:F4278"/>
    <mergeCell ref="A4280:F4280"/>
    <mergeCell ref="C4215:F4215"/>
    <mergeCell ref="C4216:E4216"/>
    <mergeCell ref="A4217:G4217"/>
    <mergeCell ref="A4221:F4221"/>
    <mergeCell ref="A4223:G4223"/>
    <mergeCell ref="A4227:F4227"/>
    <mergeCell ref="A4229:G4229"/>
    <mergeCell ref="A4233:F4233"/>
    <mergeCell ref="A4235:F4235"/>
    <mergeCell ref="A4257:F4257"/>
    <mergeCell ref="C4170:F4170"/>
    <mergeCell ref="C4171:E4171"/>
    <mergeCell ref="A4172:G4172"/>
    <mergeCell ref="A4176:F4176"/>
    <mergeCell ref="A4178:G4178"/>
    <mergeCell ref="A4182:F4182"/>
    <mergeCell ref="A4184:G4184"/>
    <mergeCell ref="A4188:F4188"/>
    <mergeCell ref="A4190:F4190"/>
    <mergeCell ref="C4125:F4125"/>
    <mergeCell ref="C4126:E4126"/>
    <mergeCell ref="A4127:G4127"/>
    <mergeCell ref="A4131:F4131"/>
    <mergeCell ref="A4133:G4133"/>
    <mergeCell ref="A4137:F4137"/>
    <mergeCell ref="A4139:G4139"/>
    <mergeCell ref="A4143:F4143"/>
    <mergeCell ref="A4145:F4145"/>
    <mergeCell ref="A4167:F4167"/>
    <mergeCell ref="C4079:F4079"/>
    <mergeCell ref="C4080:E4080"/>
    <mergeCell ref="A4081:G4081"/>
    <mergeCell ref="A4085:F4085"/>
    <mergeCell ref="A4087:G4087"/>
    <mergeCell ref="A4091:F4091"/>
    <mergeCell ref="A4093:G4093"/>
    <mergeCell ref="A4097:F4097"/>
    <mergeCell ref="A4099:F4099"/>
    <mergeCell ref="C4035:F4035"/>
    <mergeCell ref="C4036:E4036"/>
    <mergeCell ref="A4037:G4037"/>
    <mergeCell ref="A4041:F4041"/>
    <mergeCell ref="A4043:G4043"/>
    <mergeCell ref="A4047:F4047"/>
    <mergeCell ref="A4049:G4049"/>
    <mergeCell ref="A4053:F4053"/>
    <mergeCell ref="A4055:F4055"/>
    <mergeCell ref="A4077:F4077"/>
    <mergeCell ref="A4075:F4075"/>
    <mergeCell ref="C3990:F3990"/>
    <mergeCell ref="C3991:E3991"/>
    <mergeCell ref="A3992:G3992"/>
    <mergeCell ref="A3996:F3996"/>
    <mergeCell ref="A3998:G3998"/>
    <mergeCell ref="A4002:F4002"/>
    <mergeCell ref="A4004:G4004"/>
    <mergeCell ref="A4008:F4008"/>
    <mergeCell ref="A4010:F4010"/>
    <mergeCell ref="C3944:F3944"/>
    <mergeCell ref="C3945:E3945"/>
    <mergeCell ref="A3946:G3946"/>
    <mergeCell ref="A3950:F3950"/>
    <mergeCell ref="A3952:G3952"/>
    <mergeCell ref="A3956:F3956"/>
    <mergeCell ref="A3958:G3958"/>
    <mergeCell ref="A3962:F3962"/>
    <mergeCell ref="A3964:F3964"/>
    <mergeCell ref="C3966:F3966"/>
    <mergeCell ref="C3967:E3967"/>
    <mergeCell ref="A3968:G3968"/>
    <mergeCell ref="A3972:F3972"/>
    <mergeCell ref="A3974:G3974"/>
    <mergeCell ref="A3978:F3978"/>
    <mergeCell ref="A3980:G3980"/>
    <mergeCell ref="A3984:F3984"/>
    <mergeCell ref="A3986:F3986"/>
    <mergeCell ref="C3921:F3921"/>
    <mergeCell ref="C3922:E3922"/>
    <mergeCell ref="A3923:G3923"/>
    <mergeCell ref="A3927:F3927"/>
    <mergeCell ref="A3929:G3929"/>
    <mergeCell ref="A3933:F3933"/>
    <mergeCell ref="A3935:G3935"/>
    <mergeCell ref="A3939:F3939"/>
    <mergeCell ref="A3941:F3941"/>
    <mergeCell ref="C3898:F3898"/>
    <mergeCell ref="C3899:E3899"/>
    <mergeCell ref="A3900:G3900"/>
    <mergeCell ref="A3904:F3904"/>
    <mergeCell ref="A3906:G3906"/>
    <mergeCell ref="A3910:F3910"/>
    <mergeCell ref="A3912:G3912"/>
    <mergeCell ref="A3916:F3916"/>
    <mergeCell ref="A3918:F3918"/>
    <mergeCell ref="C3875:F3875"/>
    <mergeCell ref="C3876:E3876"/>
    <mergeCell ref="A3877:G3877"/>
    <mergeCell ref="A3881:F3881"/>
    <mergeCell ref="A3883:G3883"/>
    <mergeCell ref="A3887:F3887"/>
    <mergeCell ref="A3889:G3889"/>
    <mergeCell ref="A3893:F3893"/>
    <mergeCell ref="A3895:F3895"/>
    <mergeCell ref="C3852:F3852"/>
    <mergeCell ref="C3853:E3853"/>
    <mergeCell ref="A3854:G3854"/>
    <mergeCell ref="A3858:F3858"/>
    <mergeCell ref="A3860:G3860"/>
    <mergeCell ref="A3864:F3864"/>
    <mergeCell ref="A3866:G3866"/>
    <mergeCell ref="A3870:F3870"/>
    <mergeCell ref="A3872:F3872"/>
    <mergeCell ref="C3829:F3829"/>
    <mergeCell ref="C3830:E3830"/>
    <mergeCell ref="A3831:G3831"/>
    <mergeCell ref="A3835:F3835"/>
    <mergeCell ref="A3837:G3837"/>
    <mergeCell ref="A3841:F3841"/>
    <mergeCell ref="A3843:G3843"/>
    <mergeCell ref="A3847:F3847"/>
    <mergeCell ref="A3849:F3849"/>
    <mergeCell ref="C3806:F3806"/>
    <mergeCell ref="C3807:E3807"/>
    <mergeCell ref="A3808:G3808"/>
    <mergeCell ref="A3812:F3812"/>
    <mergeCell ref="A3814:G3814"/>
    <mergeCell ref="A3818:F3818"/>
    <mergeCell ref="A3820:G3820"/>
    <mergeCell ref="A3824:F3824"/>
    <mergeCell ref="A3826:F3826"/>
    <mergeCell ref="A3795:F3795"/>
    <mergeCell ref="A3797:G3797"/>
    <mergeCell ref="A3801:F3801"/>
    <mergeCell ref="A3803:F3803"/>
    <mergeCell ref="C3783:F3783"/>
    <mergeCell ref="C3784:E3784"/>
    <mergeCell ref="A3785:G3785"/>
    <mergeCell ref="A3789:F3789"/>
    <mergeCell ref="A3791:G3791"/>
    <mergeCell ref="A3772:F3772"/>
    <mergeCell ref="A3774:G3774"/>
    <mergeCell ref="A3778:F3778"/>
    <mergeCell ref="A3780:F3780"/>
    <mergeCell ref="A3749:F3749"/>
    <mergeCell ref="A3751:G3751"/>
    <mergeCell ref="A3755:F3755"/>
    <mergeCell ref="A3757:F3757"/>
    <mergeCell ref="C3760:F3760"/>
    <mergeCell ref="C3761:E3761"/>
    <mergeCell ref="A3762:G3762"/>
    <mergeCell ref="A3766:F3766"/>
    <mergeCell ref="A3768:G3768"/>
    <mergeCell ref="A3726:F3726"/>
    <mergeCell ref="A3728:G3728"/>
    <mergeCell ref="A3732:F3732"/>
    <mergeCell ref="A3734:F3734"/>
    <mergeCell ref="C3737:F3737"/>
    <mergeCell ref="C3738:E3738"/>
    <mergeCell ref="A3739:G3739"/>
    <mergeCell ref="A3743:F3743"/>
    <mergeCell ref="A3745:G3745"/>
    <mergeCell ref="A3703:F3703"/>
    <mergeCell ref="A3705:G3705"/>
    <mergeCell ref="A3709:F3709"/>
    <mergeCell ref="A3711:F3711"/>
    <mergeCell ref="C3714:F3714"/>
    <mergeCell ref="C3715:E3715"/>
    <mergeCell ref="A3716:G3716"/>
    <mergeCell ref="A3720:F3720"/>
    <mergeCell ref="A3722:G3722"/>
    <mergeCell ref="A3680:F3680"/>
    <mergeCell ref="A3682:G3682"/>
    <mergeCell ref="A3686:F3686"/>
    <mergeCell ref="A3688:F3688"/>
    <mergeCell ref="C3691:F3691"/>
    <mergeCell ref="C3692:E3692"/>
    <mergeCell ref="A3693:G3693"/>
    <mergeCell ref="A3697:F3697"/>
    <mergeCell ref="A3699:G3699"/>
    <mergeCell ref="A3655:F3655"/>
    <mergeCell ref="A3657:G3657"/>
    <mergeCell ref="A3661:F3661"/>
    <mergeCell ref="A3663:F3663"/>
    <mergeCell ref="C3666:F3666"/>
    <mergeCell ref="C3667:E3667"/>
    <mergeCell ref="A3668:G3668"/>
    <mergeCell ref="A3672:F3672"/>
    <mergeCell ref="A3674:G3674"/>
    <mergeCell ref="A3630:F3630"/>
    <mergeCell ref="A3632:G3632"/>
    <mergeCell ref="A3636:F3636"/>
    <mergeCell ref="A3638:F3638"/>
    <mergeCell ref="C3641:F3641"/>
    <mergeCell ref="C3642:E3642"/>
    <mergeCell ref="A3643:G3643"/>
    <mergeCell ref="A3647:F3647"/>
    <mergeCell ref="A3649:G3649"/>
    <mergeCell ref="A3607:F3607"/>
    <mergeCell ref="A3609:G3609"/>
    <mergeCell ref="A3613:F3613"/>
    <mergeCell ref="A3615:F3615"/>
    <mergeCell ref="C3618:F3618"/>
    <mergeCell ref="C3619:E3619"/>
    <mergeCell ref="A3620:G3620"/>
    <mergeCell ref="A3624:F3624"/>
    <mergeCell ref="A3626:G3626"/>
    <mergeCell ref="A3584:F3584"/>
    <mergeCell ref="A3586:G3586"/>
    <mergeCell ref="A3590:F3590"/>
    <mergeCell ref="A3592:F3592"/>
    <mergeCell ref="C3595:F3595"/>
    <mergeCell ref="C3596:E3596"/>
    <mergeCell ref="A3597:G3597"/>
    <mergeCell ref="A3601:F3601"/>
    <mergeCell ref="A3603:G3603"/>
    <mergeCell ref="A3561:F3561"/>
    <mergeCell ref="A3563:G3563"/>
    <mergeCell ref="A3567:F3567"/>
    <mergeCell ref="A3569:F3569"/>
    <mergeCell ref="C3572:F3572"/>
    <mergeCell ref="C3573:E3573"/>
    <mergeCell ref="A3574:G3574"/>
    <mergeCell ref="A3578:F3578"/>
    <mergeCell ref="A3580:G3580"/>
    <mergeCell ref="A3440:G3440"/>
    <mergeCell ref="A3475:F3475"/>
    <mergeCell ref="A3477:F3477"/>
    <mergeCell ref="C3480:F3480"/>
    <mergeCell ref="C3481:E3481"/>
    <mergeCell ref="A3482:G3482"/>
    <mergeCell ref="A3486:F3486"/>
    <mergeCell ref="A3488:G3488"/>
    <mergeCell ref="A3538:F3538"/>
    <mergeCell ref="A3540:G3540"/>
    <mergeCell ref="A3544:F3544"/>
    <mergeCell ref="A3546:F3546"/>
    <mergeCell ref="C3549:F3549"/>
    <mergeCell ref="C3550:E3550"/>
    <mergeCell ref="A3551:G3551"/>
    <mergeCell ref="A3555:F3555"/>
    <mergeCell ref="A3557:G3557"/>
    <mergeCell ref="A3515:F3515"/>
    <mergeCell ref="A3517:G3517"/>
    <mergeCell ref="A3521:F3521"/>
    <mergeCell ref="A3523:F3523"/>
    <mergeCell ref="C3526:F3526"/>
    <mergeCell ref="C3527:E3527"/>
    <mergeCell ref="A3528:G3528"/>
    <mergeCell ref="A3532:F3532"/>
    <mergeCell ref="A3534:G3534"/>
    <mergeCell ref="A3266:F3266"/>
    <mergeCell ref="A3268:F3268"/>
    <mergeCell ref="C3297:F3297"/>
    <mergeCell ref="C3298:E3298"/>
    <mergeCell ref="A3299:G3299"/>
    <mergeCell ref="A3308:F3308"/>
    <mergeCell ref="A3310:G3310"/>
    <mergeCell ref="A3314:F3314"/>
    <mergeCell ref="A3316:G3316"/>
    <mergeCell ref="C3270:F3270"/>
    <mergeCell ref="C3271:E3271"/>
    <mergeCell ref="A3272:G3272"/>
    <mergeCell ref="A3280:F3280"/>
    <mergeCell ref="A3282:G3282"/>
    <mergeCell ref="A3286:F3286"/>
    <mergeCell ref="A3288:G3288"/>
    <mergeCell ref="A3396:G3396"/>
    <mergeCell ref="A3292:F3292"/>
    <mergeCell ref="A3294:F3294"/>
    <mergeCell ref="C3324:F3324"/>
    <mergeCell ref="C3325:E3325"/>
    <mergeCell ref="A3326:G3326"/>
    <mergeCell ref="A3334:F3334"/>
    <mergeCell ref="A3336:G3336"/>
    <mergeCell ref="A3340:F3340"/>
    <mergeCell ref="A3342:G3342"/>
    <mergeCell ref="A3346:F3346"/>
    <mergeCell ref="A3348:F3348"/>
    <mergeCell ref="C3378:F3378"/>
    <mergeCell ref="C3379:E3379"/>
    <mergeCell ref="A3380:G3380"/>
    <mergeCell ref="A3388:F3388"/>
    <mergeCell ref="A3208:F3208"/>
    <mergeCell ref="A3210:F3210"/>
    <mergeCell ref="C3243:F3243"/>
    <mergeCell ref="C3244:E3244"/>
    <mergeCell ref="A3245:G3245"/>
    <mergeCell ref="A3254:F3254"/>
    <mergeCell ref="A3256:G3256"/>
    <mergeCell ref="A3260:F3260"/>
    <mergeCell ref="A3262:G3262"/>
    <mergeCell ref="A3180:F3180"/>
    <mergeCell ref="A3182:F3182"/>
    <mergeCell ref="C3185:F3185"/>
    <mergeCell ref="C3186:E3186"/>
    <mergeCell ref="A3187:G3187"/>
    <mergeCell ref="A3196:F3196"/>
    <mergeCell ref="A3198:G3198"/>
    <mergeCell ref="A3202:F3202"/>
    <mergeCell ref="A3204:G3204"/>
    <mergeCell ref="A3228:F3228"/>
    <mergeCell ref="A3230:G3230"/>
    <mergeCell ref="A3234:F3234"/>
    <mergeCell ref="A3236:F3236"/>
    <mergeCell ref="A3155:F3155"/>
    <mergeCell ref="A3157:F3157"/>
    <mergeCell ref="C3160:F3160"/>
    <mergeCell ref="C3161:E3161"/>
    <mergeCell ref="A3162:G3162"/>
    <mergeCell ref="A3166:F3166"/>
    <mergeCell ref="A3168:G3168"/>
    <mergeCell ref="A3172:F3172"/>
    <mergeCell ref="A3174:G3174"/>
    <mergeCell ref="A3132:F3132"/>
    <mergeCell ref="A3134:F3134"/>
    <mergeCell ref="C3137:F3137"/>
    <mergeCell ref="C3138:E3138"/>
    <mergeCell ref="A3139:G3139"/>
    <mergeCell ref="A3143:F3143"/>
    <mergeCell ref="A3145:G3145"/>
    <mergeCell ref="A3149:F3149"/>
    <mergeCell ref="A3151:G3151"/>
    <mergeCell ref="A3109:F3109"/>
    <mergeCell ref="A3111:F3111"/>
    <mergeCell ref="C3114:F3114"/>
    <mergeCell ref="C3115:E3115"/>
    <mergeCell ref="A3116:G3116"/>
    <mergeCell ref="A3120:F3120"/>
    <mergeCell ref="A3122:G3122"/>
    <mergeCell ref="A3126:F3126"/>
    <mergeCell ref="A3128:G3128"/>
    <mergeCell ref="A3086:F3086"/>
    <mergeCell ref="A3088:F3088"/>
    <mergeCell ref="C3091:F3091"/>
    <mergeCell ref="C3092:E3092"/>
    <mergeCell ref="A3093:G3093"/>
    <mergeCell ref="A3097:F3097"/>
    <mergeCell ref="A3099:G3099"/>
    <mergeCell ref="A3103:F3103"/>
    <mergeCell ref="A3105:G3105"/>
    <mergeCell ref="A3063:F3063"/>
    <mergeCell ref="A3065:F3065"/>
    <mergeCell ref="C3068:F3068"/>
    <mergeCell ref="C3069:E3069"/>
    <mergeCell ref="A3070:G3070"/>
    <mergeCell ref="A3074:F3074"/>
    <mergeCell ref="A3076:G3076"/>
    <mergeCell ref="A3080:F3080"/>
    <mergeCell ref="A3082:G3082"/>
    <mergeCell ref="C3045:F3045"/>
    <mergeCell ref="C3046:E3046"/>
    <mergeCell ref="A3047:G3047"/>
    <mergeCell ref="A3051:F3051"/>
    <mergeCell ref="A3053:G3053"/>
    <mergeCell ref="A3057:F3057"/>
    <mergeCell ref="A3059:G3059"/>
    <mergeCell ref="A3022:G3022"/>
    <mergeCell ref="A3026:F3026"/>
    <mergeCell ref="A3028:G3028"/>
    <mergeCell ref="A3034:F3034"/>
    <mergeCell ref="A3036:G3036"/>
    <mergeCell ref="A3040:F3040"/>
    <mergeCell ref="A3042:F3042"/>
    <mergeCell ref="A2997:G2997"/>
    <mergeCell ref="A3001:F3001"/>
    <mergeCell ref="A3003:G3003"/>
    <mergeCell ref="A3009:F3009"/>
    <mergeCell ref="A3011:G3011"/>
    <mergeCell ref="A3015:F3015"/>
    <mergeCell ref="A3017:F3017"/>
    <mergeCell ref="C3020:F3020"/>
    <mergeCell ref="C3021:E3021"/>
    <mergeCell ref="A2972:G2972"/>
    <mergeCell ref="A2976:F2976"/>
    <mergeCell ref="A2978:G2978"/>
    <mergeCell ref="A2984:F2984"/>
    <mergeCell ref="A2986:G2986"/>
    <mergeCell ref="A2990:F2990"/>
    <mergeCell ref="A2992:F2992"/>
    <mergeCell ref="C2995:F2995"/>
    <mergeCell ref="C2996:E2996"/>
    <mergeCell ref="A2948:G2948"/>
    <mergeCell ref="A2961:G2961"/>
    <mergeCell ref="A2965:F2965"/>
    <mergeCell ref="A2967:F2967"/>
    <mergeCell ref="C2970:F2970"/>
    <mergeCell ref="C2971:E2971"/>
    <mergeCell ref="A2924:G2924"/>
    <mergeCell ref="A2937:G2937"/>
    <mergeCell ref="A2941:F2941"/>
    <mergeCell ref="A2943:F2943"/>
    <mergeCell ref="C2946:F2946"/>
    <mergeCell ref="C2947:E2947"/>
    <mergeCell ref="A2929:F2929"/>
    <mergeCell ref="A2931:G2931"/>
    <mergeCell ref="A2953:F2953"/>
    <mergeCell ref="A2955:G2955"/>
    <mergeCell ref="A2935:F2935"/>
    <mergeCell ref="A2959:F2959"/>
    <mergeCell ref="A2900:G2900"/>
    <mergeCell ref="A2913:G2913"/>
    <mergeCell ref="A2917:F2917"/>
    <mergeCell ref="A2919:F2919"/>
    <mergeCell ref="C2922:F2922"/>
    <mergeCell ref="C2923:E2923"/>
    <mergeCell ref="A2876:G2876"/>
    <mergeCell ref="A2889:G2889"/>
    <mergeCell ref="A2893:F2893"/>
    <mergeCell ref="A2895:F2895"/>
    <mergeCell ref="C2898:F2898"/>
    <mergeCell ref="C2899:E2899"/>
    <mergeCell ref="A2852:G2852"/>
    <mergeCell ref="A2865:G2865"/>
    <mergeCell ref="A2869:F2869"/>
    <mergeCell ref="A2871:F2871"/>
    <mergeCell ref="C2874:F2874"/>
    <mergeCell ref="C2875:E2875"/>
    <mergeCell ref="A2857:F2857"/>
    <mergeCell ref="A2859:G2859"/>
    <mergeCell ref="A2881:F2881"/>
    <mergeCell ref="A2883:G2883"/>
    <mergeCell ref="A2905:F2905"/>
    <mergeCell ref="A2907:G2907"/>
    <mergeCell ref="A2863:F2863"/>
    <mergeCell ref="A2887:F2887"/>
    <mergeCell ref="A2911:F2911"/>
    <mergeCell ref="A2828:G2828"/>
    <mergeCell ref="A2833:F2833"/>
    <mergeCell ref="A2835:G2835"/>
    <mergeCell ref="A2839:F2839"/>
    <mergeCell ref="A2841:G2841"/>
    <mergeCell ref="A2845:F2845"/>
    <mergeCell ref="A2847:F2847"/>
    <mergeCell ref="C2850:F2850"/>
    <mergeCell ref="C2851:E2851"/>
    <mergeCell ref="C2803:E2803"/>
    <mergeCell ref="A2804:G2804"/>
    <mergeCell ref="A2808:F2808"/>
    <mergeCell ref="A2810:G2810"/>
    <mergeCell ref="A2817:G2817"/>
    <mergeCell ref="A2821:F2821"/>
    <mergeCell ref="A2823:F2823"/>
    <mergeCell ref="C2826:F2826"/>
    <mergeCell ref="C2827:E2827"/>
    <mergeCell ref="C2778:F2778"/>
    <mergeCell ref="C2779:E2779"/>
    <mergeCell ref="A2780:G2780"/>
    <mergeCell ref="A2784:F2784"/>
    <mergeCell ref="A2786:G2786"/>
    <mergeCell ref="A2793:G2793"/>
    <mergeCell ref="A2797:F2797"/>
    <mergeCell ref="A2799:F2799"/>
    <mergeCell ref="C2802:F2802"/>
    <mergeCell ref="A2751:F2751"/>
    <mergeCell ref="C2754:F2754"/>
    <mergeCell ref="C2755:E2755"/>
    <mergeCell ref="A2756:G2756"/>
    <mergeCell ref="A2760:F2760"/>
    <mergeCell ref="A2762:G2762"/>
    <mergeCell ref="A2769:G2769"/>
    <mergeCell ref="A2773:F2773"/>
    <mergeCell ref="A2775:F2775"/>
    <mergeCell ref="A2725:F2725"/>
    <mergeCell ref="A2727:F2727"/>
    <mergeCell ref="C2730:F2730"/>
    <mergeCell ref="C2731:E2731"/>
    <mergeCell ref="A2732:G2732"/>
    <mergeCell ref="A2736:F2736"/>
    <mergeCell ref="A2738:G2738"/>
    <mergeCell ref="A2745:G2745"/>
    <mergeCell ref="A2749:F2749"/>
    <mergeCell ref="A2697:G2697"/>
    <mergeCell ref="A2701:F2701"/>
    <mergeCell ref="A2703:F2703"/>
    <mergeCell ref="C2706:F2706"/>
    <mergeCell ref="C2707:E2707"/>
    <mergeCell ref="A2708:G2708"/>
    <mergeCell ref="A2712:F2712"/>
    <mergeCell ref="A2714:G2714"/>
    <mergeCell ref="A2721:G2721"/>
    <mergeCell ref="A2666:G2666"/>
    <mergeCell ref="A2673:G2673"/>
    <mergeCell ref="A2677:F2677"/>
    <mergeCell ref="A2679:F2679"/>
    <mergeCell ref="C2682:F2682"/>
    <mergeCell ref="C2683:E2683"/>
    <mergeCell ref="A2684:G2684"/>
    <mergeCell ref="A2688:F2688"/>
    <mergeCell ref="A2690:G2690"/>
    <mergeCell ref="A2640:F2640"/>
    <mergeCell ref="A2642:G2642"/>
    <mergeCell ref="A2649:G2649"/>
    <mergeCell ref="A2653:F2653"/>
    <mergeCell ref="A2655:F2655"/>
    <mergeCell ref="C2658:F2658"/>
    <mergeCell ref="C2659:E2659"/>
    <mergeCell ref="A2660:G2660"/>
    <mergeCell ref="A2664:F2664"/>
    <mergeCell ref="A2647:F2647"/>
    <mergeCell ref="A2671:F2671"/>
    <mergeCell ref="A2612:G2612"/>
    <mergeCell ref="A2616:F2616"/>
    <mergeCell ref="A2618:G2618"/>
    <mergeCell ref="A2625:G2625"/>
    <mergeCell ref="A2629:F2629"/>
    <mergeCell ref="A2631:F2631"/>
    <mergeCell ref="C2634:F2634"/>
    <mergeCell ref="C2635:E2635"/>
    <mergeCell ref="A2636:G2636"/>
    <mergeCell ref="C2587:E2587"/>
    <mergeCell ref="A2588:G2588"/>
    <mergeCell ref="A2592:F2592"/>
    <mergeCell ref="A2594:G2594"/>
    <mergeCell ref="A2601:G2601"/>
    <mergeCell ref="A2605:F2605"/>
    <mergeCell ref="A2607:F2607"/>
    <mergeCell ref="C2610:F2610"/>
    <mergeCell ref="C2611:E2611"/>
    <mergeCell ref="A2599:F2599"/>
    <mergeCell ref="A2623:F2623"/>
    <mergeCell ref="C2562:F2562"/>
    <mergeCell ref="C2563:E2563"/>
    <mergeCell ref="A2564:G2564"/>
    <mergeCell ref="A2568:F2568"/>
    <mergeCell ref="A2570:G2570"/>
    <mergeCell ref="A2577:G2577"/>
    <mergeCell ref="A2581:F2581"/>
    <mergeCell ref="A2583:F2583"/>
    <mergeCell ref="C2586:F2586"/>
    <mergeCell ref="A2535:F2535"/>
    <mergeCell ref="C2538:F2538"/>
    <mergeCell ref="C2539:E2539"/>
    <mergeCell ref="A2540:G2540"/>
    <mergeCell ref="A2544:F2544"/>
    <mergeCell ref="A2546:G2546"/>
    <mergeCell ref="A2553:G2553"/>
    <mergeCell ref="A2557:F2557"/>
    <mergeCell ref="A2559:F2559"/>
    <mergeCell ref="A2551:F2551"/>
    <mergeCell ref="A2575:F2575"/>
    <mergeCell ref="A2448:F2448"/>
    <mergeCell ref="A2455:F2455"/>
    <mergeCell ref="A2509:F2509"/>
    <mergeCell ref="A2511:F2511"/>
    <mergeCell ref="C2514:F2514"/>
    <mergeCell ref="C2515:E2515"/>
    <mergeCell ref="A2516:G2516"/>
    <mergeCell ref="A2520:F2520"/>
    <mergeCell ref="A2522:G2522"/>
    <mergeCell ref="A2529:G2529"/>
    <mergeCell ref="A2533:F2533"/>
    <mergeCell ref="A2481:G2481"/>
    <mergeCell ref="A2485:F2485"/>
    <mergeCell ref="A2487:F2487"/>
    <mergeCell ref="C2490:F2490"/>
    <mergeCell ref="C2491:E2491"/>
    <mergeCell ref="A2492:G2492"/>
    <mergeCell ref="A2496:F2496"/>
    <mergeCell ref="A2498:G2498"/>
    <mergeCell ref="A2505:G2505"/>
    <mergeCell ref="A2479:F2479"/>
    <mergeCell ref="A2503:F2503"/>
    <mergeCell ref="A2527:F2527"/>
    <mergeCell ref="A4810:F4810"/>
    <mergeCell ref="A4812:G4812"/>
    <mergeCell ref="A4821:F4821"/>
    <mergeCell ref="A4823:F4823"/>
    <mergeCell ref="C4770:F4770"/>
    <mergeCell ref="C4771:E4771"/>
    <mergeCell ref="A4772:G4772"/>
    <mergeCell ref="A4776:F4776"/>
    <mergeCell ref="A4778:G4778"/>
    <mergeCell ref="A4782:F4782"/>
    <mergeCell ref="A2396:G2396"/>
    <mergeCell ref="A2400:F2400"/>
    <mergeCell ref="A2402:G2402"/>
    <mergeCell ref="A2409:G2409"/>
    <mergeCell ref="A2413:F2413"/>
    <mergeCell ref="A2415:F2415"/>
    <mergeCell ref="C2418:F2418"/>
    <mergeCell ref="C2419:E2419"/>
    <mergeCell ref="A2420:G2420"/>
    <mergeCell ref="A2450:G2450"/>
    <mergeCell ref="A2457:G2457"/>
    <mergeCell ref="A2461:F2461"/>
    <mergeCell ref="A2463:F2463"/>
    <mergeCell ref="C2466:F2466"/>
    <mergeCell ref="C2467:E2467"/>
    <mergeCell ref="A2468:G2468"/>
    <mergeCell ref="A2472:F2472"/>
    <mergeCell ref="A2474:G2474"/>
    <mergeCell ref="A2424:F2424"/>
    <mergeCell ref="A2426:G2426"/>
    <mergeCell ref="A2433:G2433"/>
    <mergeCell ref="A2437:F2437"/>
    <mergeCell ref="A4869:F4869"/>
    <mergeCell ref="C4826:F4826"/>
    <mergeCell ref="C4827:E4827"/>
    <mergeCell ref="A4828:G4828"/>
    <mergeCell ref="A4832:F4832"/>
    <mergeCell ref="A4834:G4834"/>
    <mergeCell ref="A4838:F4838"/>
    <mergeCell ref="A4840:G4840"/>
    <mergeCell ref="A4844:F4844"/>
    <mergeCell ref="A4846:F4846"/>
    <mergeCell ref="C2346:F2346"/>
    <mergeCell ref="C2347:E2347"/>
    <mergeCell ref="A2348:G2348"/>
    <mergeCell ref="A2352:F2352"/>
    <mergeCell ref="A2354:G2354"/>
    <mergeCell ref="A2361:G2361"/>
    <mergeCell ref="A2365:F2365"/>
    <mergeCell ref="A2367:F2367"/>
    <mergeCell ref="C2370:F2370"/>
    <mergeCell ref="C4849:F4849"/>
    <mergeCell ref="C4850:E4850"/>
    <mergeCell ref="A4851:G4851"/>
    <mergeCell ref="A4855:F4855"/>
    <mergeCell ref="A4857:G4857"/>
    <mergeCell ref="A4861:F4861"/>
    <mergeCell ref="A4863:G4863"/>
    <mergeCell ref="A4867:F4867"/>
    <mergeCell ref="C4798:F4798"/>
    <mergeCell ref="C4799:E4799"/>
    <mergeCell ref="A4800:G4800"/>
    <mergeCell ref="A4804:F4804"/>
    <mergeCell ref="A4806:G4806"/>
    <mergeCell ref="A4784:G4784"/>
    <mergeCell ref="A4793:F4793"/>
    <mergeCell ref="A4795:F4795"/>
    <mergeCell ref="C2322:F2322"/>
    <mergeCell ref="C2323:E2323"/>
    <mergeCell ref="A2324:G2324"/>
    <mergeCell ref="A2328:F2328"/>
    <mergeCell ref="A2330:G2330"/>
    <mergeCell ref="A2337:G2337"/>
    <mergeCell ref="A2341:F2341"/>
    <mergeCell ref="A2343:F2343"/>
    <mergeCell ref="C2298:F2298"/>
    <mergeCell ref="C2299:E2299"/>
    <mergeCell ref="A2300:G2300"/>
    <mergeCell ref="A2304:F2304"/>
    <mergeCell ref="A2306:G2306"/>
    <mergeCell ref="A2313:G2313"/>
    <mergeCell ref="A2317:F2317"/>
    <mergeCell ref="A2319:F2319"/>
    <mergeCell ref="C2371:E2371"/>
    <mergeCell ref="A2372:G2372"/>
    <mergeCell ref="A2376:F2376"/>
    <mergeCell ref="A2378:G2378"/>
    <mergeCell ref="A2385:G2385"/>
    <mergeCell ref="A2389:F2389"/>
    <mergeCell ref="A2391:F2391"/>
    <mergeCell ref="C2394:F2394"/>
    <mergeCell ref="C2395:E2395"/>
    <mergeCell ref="A2439:F2439"/>
    <mergeCell ref="C2442:F2442"/>
    <mergeCell ref="C2443:E2443"/>
    <mergeCell ref="A2444:G2444"/>
    <mergeCell ref="C2274:F2274"/>
    <mergeCell ref="C2275:E2275"/>
    <mergeCell ref="A2276:G2276"/>
    <mergeCell ref="A2280:F2280"/>
    <mergeCell ref="A2282:G2282"/>
    <mergeCell ref="A2289:G2289"/>
    <mergeCell ref="A2293:F2293"/>
    <mergeCell ref="A2295:F2295"/>
    <mergeCell ref="C2250:F2250"/>
    <mergeCell ref="C2251:E2251"/>
    <mergeCell ref="A2252:G2252"/>
    <mergeCell ref="A2256:F2256"/>
    <mergeCell ref="A2258:G2258"/>
    <mergeCell ref="A2263:F2263"/>
    <mergeCell ref="A2265:G2265"/>
    <mergeCell ref="A2269:F2269"/>
    <mergeCell ref="A2271:F2271"/>
    <mergeCell ref="C2227:F2227"/>
    <mergeCell ref="C2228:E2228"/>
    <mergeCell ref="A2229:G2229"/>
    <mergeCell ref="A2233:F2233"/>
    <mergeCell ref="A2235:G2235"/>
    <mergeCell ref="A2239:F2239"/>
    <mergeCell ref="A2241:G2241"/>
    <mergeCell ref="A2245:F2245"/>
    <mergeCell ref="A2247:F2247"/>
    <mergeCell ref="C2204:F2204"/>
    <mergeCell ref="C2205:E2205"/>
    <mergeCell ref="A2206:G2206"/>
    <mergeCell ref="A2210:F2210"/>
    <mergeCell ref="A2212:G2212"/>
    <mergeCell ref="A2216:F2216"/>
    <mergeCell ref="A2218:G2218"/>
    <mergeCell ref="A2222:F2222"/>
    <mergeCell ref="A2224:F2224"/>
    <mergeCell ref="C2181:F2181"/>
    <mergeCell ref="C2182:E2182"/>
    <mergeCell ref="A2183:G2183"/>
    <mergeCell ref="A2187:F2187"/>
    <mergeCell ref="A2189:G2189"/>
    <mergeCell ref="A2193:F2193"/>
    <mergeCell ref="A2195:G2195"/>
    <mergeCell ref="A2199:F2199"/>
    <mergeCell ref="A2201:F2201"/>
    <mergeCell ref="C2158:F2158"/>
    <mergeCell ref="C2159:E2159"/>
    <mergeCell ref="A2160:G2160"/>
    <mergeCell ref="A2164:F2164"/>
    <mergeCell ref="A2166:G2166"/>
    <mergeCell ref="A2170:F2170"/>
    <mergeCell ref="A2172:G2172"/>
    <mergeCell ref="A2176:F2176"/>
    <mergeCell ref="A2178:F2178"/>
    <mergeCell ref="C2135:F2135"/>
    <mergeCell ref="C2136:E2136"/>
    <mergeCell ref="A2137:G2137"/>
    <mergeCell ref="A2141:F2141"/>
    <mergeCell ref="A2143:G2143"/>
    <mergeCell ref="A2147:F2147"/>
    <mergeCell ref="A2149:G2149"/>
    <mergeCell ref="A2153:F2153"/>
    <mergeCell ref="A2155:F2155"/>
    <mergeCell ref="C2112:F2112"/>
    <mergeCell ref="C2113:E2113"/>
    <mergeCell ref="A2114:G2114"/>
    <mergeCell ref="A2118:F2118"/>
    <mergeCell ref="A2120:G2120"/>
    <mergeCell ref="A2124:F2124"/>
    <mergeCell ref="A2126:G2126"/>
    <mergeCell ref="A2130:F2130"/>
    <mergeCell ref="A2132:F2132"/>
    <mergeCell ref="C2089:F2089"/>
    <mergeCell ref="C2090:E2090"/>
    <mergeCell ref="A2091:G2091"/>
    <mergeCell ref="A2095:F2095"/>
    <mergeCell ref="A2097:G2097"/>
    <mergeCell ref="A2101:F2101"/>
    <mergeCell ref="A2103:G2103"/>
    <mergeCell ref="A2107:F2107"/>
    <mergeCell ref="A2109:F2109"/>
    <mergeCell ref="C2066:F2066"/>
    <mergeCell ref="C2067:E2067"/>
    <mergeCell ref="A2068:G2068"/>
    <mergeCell ref="A2072:F2072"/>
    <mergeCell ref="A2074:G2074"/>
    <mergeCell ref="A2078:F2078"/>
    <mergeCell ref="A2080:G2080"/>
    <mergeCell ref="A2084:F2084"/>
    <mergeCell ref="A2086:F2086"/>
    <mergeCell ref="A1976:G1976"/>
    <mergeCell ref="A1980:F1980"/>
    <mergeCell ref="A1982:G1982"/>
    <mergeCell ref="A1986:F1986"/>
    <mergeCell ref="A1988:G1988"/>
    <mergeCell ref="A1992:F1992"/>
    <mergeCell ref="A1994:F1994"/>
    <mergeCell ref="A2063:F2063"/>
    <mergeCell ref="C2020:F2020"/>
    <mergeCell ref="C2021:E2021"/>
    <mergeCell ref="A2022:G2022"/>
    <mergeCell ref="A2026:F2026"/>
    <mergeCell ref="A2028:G2028"/>
    <mergeCell ref="A2032:F2032"/>
    <mergeCell ref="A2034:G2034"/>
    <mergeCell ref="A2038:F2038"/>
    <mergeCell ref="A2040:F2040"/>
    <mergeCell ref="C5417:F5417"/>
    <mergeCell ref="C5418:E5418"/>
    <mergeCell ref="A5419:G5419"/>
    <mergeCell ref="A5423:F5423"/>
    <mergeCell ref="A5425:G5425"/>
    <mergeCell ref="A5429:F5429"/>
    <mergeCell ref="A5431:G5431"/>
    <mergeCell ref="A5435:F5435"/>
    <mergeCell ref="A5437:F5437"/>
    <mergeCell ref="C5394:F5394"/>
    <mergeCell ref="C5395:E5395"/>
    <mergeCell ref="A5396:G5396"/>
    <mergeCell ref="A5400:F5400"/>
    <mergeCell ref="A5402:G5402"/>
    <mergeCell ref="A5406:F5406"/>
    <mergeCell ref="C1951:F1951"/>
    <mergeCell ref="C1952:E1952"/>
    <mergeCell ref="A1953:G1953"/>
    <mergeCell ref="A1957:F1957"/>
    <mergeCell ref="A1959:G1959"/>
    <mergeCell ref="A1963:F1963"/>
    <mergeCell ref="A1965:G1965"/>
    <mergeCell ref="A1969:F1969"/>
    <mergeCell ref="A1971:F1971"/>
    <mergeCell ref="C2043:F2043"/>
    <mergeCell ref="C2044:E2044"/>
    <mergeCell ref="A2045:G2045"/>
    <mergeCell ref="A2049:F2049"/>
    <mergeCell ref="A2051:G2051"/>
    <mergeCell ref="A2055:F2055"/>
    <mergeCell ref="A2057:G2057"/>
    <mergeCell ref="A2061:F2061"/>
    <mergeCell ref="A5506:F5506"/>
    <mergeCell ref="C5463:F5463"/>
    <mergeCell ref="C5464:E5464"/>
    <mergeCell ref="A5465:G5465"/>
    <mergeCell ref="A5469:F5469"/>
    <mergeCell ref="A5471:G5471"/>
    <mergeCell ref="A5475:F5475"/>
    <mergeCell ref="A5477:G5477"/>
    <mergeCell ref="A5481:F5481"/>
    <mergeCell ref="A5483:F5483"/>
    <mergeCell ref="C5440:F5440"/>
    <mergeCell ref="C5441:E5441"/>
    <mergeCell ref="A5442:G5442"/>
    <mergeCell ref="A5446:F5446"/>
    <mergeCell ref="A5448:G5448"/>
    <mergeCell ref="A5452:F5452"/>
    <mergeCell ref="A5454:G5454"/>
    <mergeCell ref="A5458:F5458"/>
    <mergeCell ref="A5460:F5460"/>
    <mergeCell ref="C5486:F5486"/>
    <mergeCell ref="C5487:E5487"/>
    <mergeCell ref="A5488:G5488"/>
    <mergeCell ref="A5492:F5492"/>
    <mergeCell ref="A5494:G5494"/>
    <mergeCell ref="A5498:F5498"/>
    <mergeCell ref="A5500:G5500"/>
    <mergeCell ref="A5504:F5504"/>
    <mergeCell ref="A5408:G5408"/>
    <mergeCell ref="A5412:F5412"/>
    <mergeCell ref="A5414:F5414"/>
    <mergeCell ref="C5371:F5371"/>
    <mergeCell ref="C5372:E5372"/>
    <mergeCell ref="A5373:G5373"/>
    <mergeCell ref="A5377:F5377"/>
    <mergeCell ref="A5379:G5379"/>
    <mergeCell ref="A5383:F5383"/>
    <mergeCell ref="A5385:G5385"/>
    <mergeCell ref="A5389:F5389"/>
    <mergeCell ref="A5391:F5391"/>
    <mergeCell ref="C5348:F5348"/>
    <mergeCell ref="C5349:E5349"/>
    <mergeCell ref="A5350:G5350"/>
    <mergeCell ref="A5354:F5354"/>
    <mergeCell ref="A5356:G5356"/>
    <mergeCell ref="A5360:F5360"/>
    <mergeCell ref="A5362:G5362"/>
    <mergeCell ref="A5366:F5366"/>
    <mergeCell ref="A5368:F5368"/>
    <mergeCell ref="C5325:F5325"/>
    <mergeCell ref="C5326:E5326"/>
    <mergeCell ref="A5327:G5327"/>
    <mergeCell ref="A5331:F5331"/>
    <mergeCell ref="A5333:G5333"/>
    <mergeCell ref="A5337:F5337"/>
    <mergeCell ref="A5339:G5339"/>
    <mergeCell ref="A5343:F5343"/>
    <mergeCell ref="A5345:F5345"/>
    <mergeCell ref="C5302:F5302"/>
    <mergeCell ref="C5303:E5303"/>
    <mergeCell ref="A5304:G5304"/>
    <mergeCell ref="A5308:F5308"/>
    <mergeCell ref="A5310:G5310"/>
    <mergeCell ref="A5314:F5314"/>
    <mergeCell ref="A5316:G5316"/>
    <mergeCell ref="A5320:F5320"/>
    <mergeCell ref="A5322:F5322"/>
    <mergeCell ref="C1718:F1718"/>
    <mergeCell ref="C1719:E1719"/>
    <mergeCell ref="A1720:G1720"/>
    <mergeCell ref="A1733:G1733"/>
    <mergeCell ref="A1737:F1737"/>
    <mergeCell ref="A1739:F1739"/>
    <mergeCell ref="A1725:F1725"/>
    <mergeCell ref="A1727:G1727"/>
    <mergeCell ref="C1694:F1694"/>
    <mergeCell ref="C1695:E1695"/>
    <mergeCell ref="A1696:G1696"/>
    <mergeCell ref="A1709:G1709"/>
    <mergeCell ref="A1713:F1713"/>
    <mergeCell ref="A1715:F1715"/>
    <mergeCell ref="A1701:F1701"/>
    <mergeCell ref="A1703:G1703"/>
    <mergeCell ref="C1670:F1670"/>
    <mergeCell ref="C1671:E1671"/>
    <mergeCell ref="A1672:G1672"/>
    <mergeCell ref="A1685:G1685"/>
    <mergeCell ref="A1689:F1689"/>
    <mergeCell ref="A1691:F1691"/>
    <mergeCell ref="A1677:F1677"/>
    <mergeCell ref="A1679:G1679"/>
    <mergeCell ref="C1646:F1646"/>
    <mergeCell ref="C1647:E1647"/>
    <mergeCell ref="A1648:G1648"/>
    <mergeCell ref="A1661:G1661"/>
    <mergeCell ref="A1665:F1665"/>
    <mergeCell ref="A1667:F1667"/>
    <mergeCell ref="A1653:F1653"/>
    <mergeCell ref="A1655:G1655"/>
    <mergeCell ref="C1622:F1622"/>
    <mergeCell ref="C1623:E1623"/>
    <mergeCell ref="A1624:G1624"/>
    <mergeCell ref="A1629:F1629"/>
    <mergeCell ref="A1631:G1631"/>
    <mergeCell ref="A1635:F1635"/>
    <mergeCell ref="A1637:G1637"/>
    <mergeCell ref="A1641:F1641"/>
    <mergeCell ref="A1643:F1643"/>
    <mergeCell ref="C1599:F1599"/>
    <mergeCell ref="C1600:E1600"/>
    <mergeCell ref="A1601:G1601"/>
    <mergeCell ref="A1605:F1605"/>
    <mergeCell ref="A1607:G1607"/>
    <mergeCell ref="A1611:F1611"/>
    <mergeCell ref="A1613:G1613"/>
    <mergeCell ref="A1617:F1617"/>
    <mergeCell ref="A1619:F1619"/>
    <mergeCell ref="C1576:F1576"/>
    <mergeCell ref="C1577:E1577"/>
    <mergeCell ref="A1578:G1578"/>
    <mergeCell ref="A1582:F1582"/>
    <mergeCell ref="A1584:G1584"/>
    <mergeCell ref="A1588:F1588"/>
    <mergeCell ref="A1590:G1590"/>
    <mergeCell ref="A1594:F1594"/>
    <mergeCell ref="A1596:F1596"/>
    <mergeCell ref="C1553:F1553"/>
    <mergeCell ref="C1554:E1554"/>
    <mergeCell ref="A1555:G1555"/>
    <mergeCell ref="A1559:F1559"/>
    <mergeCell ref="A1561:G1561"/>
    <mergeCell ref="A1565:F1565"/>
    <mergeCell ref="A1567:G1567"/>
    <mergeCell ref="A1571:F1571"/>
    <mergeCell ref="A1573:F1573"/>
    <mergeCell ref="C5095:F5095"/>
    <mergeCell ref="C5096:E5096"/>
    <mergeCell ref="A5097:G5097"/>
    <mergeCell ref="A5101:F5101"/>
    <mergeCell ref="A5103:G5103"/>
    <mergeCell ref="A5107:F5107"/>
    <mergeCell ref="A5109:G5109"/>
    <mergeCell ref="A5113:F5113"/>
    <mergeCell ref="C5016:F5016"/>
    <mergeCell ref="C5017:E5017"/>
    <mergeCell ref="A5018:G5018"/>
    <mergeCell ref="A5022:F5022"/>
    <mergeCell ref="A5024:G5024"/>
    <mergeCell ref="A5028:F5028"/>
    <mergeCell ref="A5030:G5030"/>
    <mergeCell ref="A5034:F5034"/>
    <mergeCell ref="A5036:F5036"/>
    <mergeCell ref="C4991:F4991"/>
    <mergeCell ref="C4992:E4992"/>
    <mergeCell ref="A4993:G4993"/>
    <mergeCell ref="A4997:F4997"/>
    <mergeCell ref="A4999:G4999"/>
    <mergeCell ref="A5003:F5003"/>
    <mergeCell ref="A5115:F5115"/>
    <mergeCell ref="C5070:F5070"/>
    <mergeCell ref="C5071:E5071"/>
    <mergeCell ref="A5072:G5072"/>
    <mergeCell ref="A5078:F5078"/>
    <mergeCell ref="A5080:G5080"/>
    <mergeCell ref="A5084:F5084"/>
    <mergeCell ref="A5086:G5086"/>
    <mergeCell ref="A5090:F5090"/>
    <mergeCell ref="A5092:F5092"/>
    <mergeCell ref="C5039:F5039"/>
    <mergeCell ref="C5040:E5040"/>
    <mergeCell ref="A5041:G5041"/>
    <mergeCell ref="A5053:F5053"/>
    <mergeCell ref="A5055:G5055"/>
    <mergeCell ref="A5059:F5059"/>
    <mergeCell ref="A5061:G5061"/>
    <mergeCell ref="A5065:F5065"/>
    <mergeCell ref="A5067:F5067"/>
    <mergeCell ref="A5011:F5011"/>
    <mergeCell ref="A5013:F5013"/>
    <mergeCell ref="C4967:F4967"/>
    <mergeCell ref="C4968:E4968"/>
    <mergeCell ref="A4969:G4969"/>
    <mergeCell ref="A4973:F4973"/>
    <mergeCell ref="A4975:G4975"/>
    <mergeCell ref="A4980:F4980"/>
    <mergeCell ref="A4982:G4982"/>
    <mergeCell ref="A4986:F4986"/>
    <mergeCell ref="A4988:F4988"/>
    <mergeCell ref="C4943:F4943"/>
    <mergeCell ref="C4944:E4944"/>
    <mergeCell ref="A4945:G4945"/>
    <mergeCell ref="A4949:F4949"/>
    <mergeCell ref="A4951:G4951"/>
    <mergeCell ref="A4956:F4956"/>
    <mergeCell ref="A4958:G4958"/>
    <mergeCell ref="A4962:F4962"/>
    <mergeCell ref="A4964:F4964"/>
    <mergeCell ref="A4921:G4921"/>
    <mergeCell ref="A4925:F4925"/>
    <mergeCell ref="A4927:G4927"/>
    <mergeCell ref="A4932:F4932"/>
    <mergeCell ref="A4934:G4934"/>
    <mergeCell ref="A4938:F4938"/>
    <mergeCell ref="A4940:F4940"/>
    <mergeCell ref="C4895:F4895"/>
    <mergeCell ref="C4896:E4896"/>
    <mergeCell ref="A4897:G4897"/>
    <mergeCell ref="A4901:F4901"/>
    <mergeCell ref="A4903:G4903"/>
    <mergeCell ref="A4908:F4908"/>
    <mergeCell ref="A4910:G4910"/>
    <mergeCell ref="A4914:F4914"/>
    <mergeCell ref="A4916:F4916"/>
    <mergeCell ref="A5005:G5005"/>
    <mergeCell ref="A1925:F1925"/>
    <mergeCell ref="C1928:F1928"/>
    <mergeCell ref="C1929:E1929"/>
    <mergeCell ref="A1930:G1930"/>
    <mergeCell ref="A1934:F1934"/>
    <mergeCell ref="A1936:G1936"/>
    <mergeCell ref="C4872:F4872"/>
    <mergeCell ref="C4873:E4873"/>
    <mergeCell ref="A4874:G4874"/>
    <mergeCell ref="A4878:F4878"/>
    <mergeCell ref="A4880:G4880"/>
    <mergeCell ref="A4884:F4884"/>
    <mergeCell ref="A4886:G4886"/>
    <mergeCell ref="A4890:F4890"/>
    <mergeCell ref="A4892:F4892"/>
    <mergeCell ref="C4919:F4919"/>
    <mergeCell ref="C4920:E4920"/>
    <mergeCell ref="A1940:F1940"/>
    <mergeCell ref="A1942:G1942"/>
    <mergeCell ref="A1946:F1946"/>
    <mergeCell ref="A1948:F1948"/>
    <mergeCell ref="C1997:F1997"/>
    <mergeCell ref="C1998:E1998"/>
    <mergeCell ref="A1999:G1999"/>
    <mergeCell ref="A2003:F2003"/>
    <mergeCell ref="A2005:G2005"/>
    <mergeCell ref="A2009:F2009"/>
    <mergeCell ref="A2011:G2011"/>
    <mergeCell ref="A2015:F2015"/>
    <mergeCell ref="A2017:F2017"/>
    <mergeCell ref="C1974:F1974"/>
    <mergeCell ref="C1975:E1975"/>
    <mergeCell ref="C1882:F1882"/>
    <mergeCell ref="C1883:E1883"/>
    <mergeCell ref="A1884:G1884"/>
    <mergeCell ref="A1888:F1888"/>
    <mergeCell ref="A1890:G1890"/>
    <mergeCell ref="A1894:F1894"/>
    <mergeCell ref="A1896:G1896"/>
    <mergeCell ref="A1900:F1900"/>
    <mergeCell ref="A1902:F1902"/>
    <mergeCell ref="C1905:F1905"/>
    <mergeCell ref="C1906:E1906"/>
    <mergeCell ref="A1907:G1907"/>
    <mergeCell ref="A1911:F1911"/>
    <mergeCell ref="A1913:G1913"/>
    <mergeCell ref="A1917:F1917"/>
    <mergeCell ref="A1919:G1919"/>
    <mergeCell ref="A1923:F1923"/>
    <mergeCell ref="C1859:F1859"/>
    <mergeCell ref="C1860:E1860"/>
    <mergeCell ref="A1861:G1861"/>
    <mergeCell ref="A1865:F1865"/>
    <mergeCell ref="A1867:G1867"/>
    <mergeCell ref="A1871:F1871"/>
    <mergeCell ref="A1873:G1873"/>
    <mergeCell ref="A1877:F1877"/>
    <mergeCell ref="A1879:F1879"/>
    <mergeCell ref="C1836:F1836"/>
    <mergeCell ref="C1837:E1837"/>
    <mergeCell ref="A1838:G1838"/>
    <mergeCell ref="A1842:F1842"/>
    <mergeCell ref="A1844:G1844"/>
    <mergeCell ref="A1848:F1848"/>
    <mergeCell ref="A1850:G1850"/>
    <mergeCell ref="A1854:F1854"/>
    <mergeCell ref="A1856:F1856"/>
    <mergeCell ref="C1813:F1813"/>
    <mergeCell ref="C1814:E1814"/>
    <mergeCell ref="A1815:G1815"/>
    <mergeCell ref="A1819:F1819"/>
    <mergeCell ref="A1821:G1821"/>
    <mergeCell ref="A1825:F1825"/>
    <mergeCell ref="A1827:G1827"/>
    <mergeCell ref="A1831:F1831"/>
    <mergeCell ref="A1833:F1833"/>
    <mergeCell ref="C1790:F1790"/>
    <mergeCell ref="C1791:E1791"/>
    <mergeCell ref="A1792:G1792"/>
    <mergeCell ref="A1796:F1796"/>
    <mergeCell ref="A1798:G1798"/>
    <mergeCell ref="A1802:F1802"/>
    <mergeCell ref="A1804:G1804"/>
    <mergeCell ref="A1808:F1808"/>
    <mergeCell ref="A1810:F1810"/>
    <mergeCell ref="C1766:F1766"/>
    <mergeCell ref="C1767:E1767"/>
    <mergeCell ref="A1768:G1768"/>
    <mergeCell ref="A1781:G1781"/>
    <mergeCell ref="A1785:F1785"/>
    <mergeCell ref="A1787:F1787"/>
    <mergeCell ref="A1773:F1773"/>
    <mergeCell ref="A1775:G1775"/>
    <mergeCell ref="C1742:F1742"/>
    <mergeCell ref="C1743:E1743"/>
    <mergeCell ref="A1744:G1744"/>
    <mergeCell ref="A1757:G1757"/>
    <mergeCell ref="A1761:F1761"/>
    <mergeCell ref="A1763:F1763"/>
    <mergeCell ref="A1749:F1749"/>
    <mergeCell ref="A1751:G1751"/>
    <mergeCell ref="C5279:F5279"/>
    <mergeCell ref="C5233:F5233"/>
    <mergeCell ref="C5234:E5234"/>
    <mergeCell ref="A5235:G5235"/>
    <mergeCell ref="A5239:F5239"/>
    <mergeCell ref="A5241:G5241"/>
    <mergeCell ref="A5245:F5245"/>
    <mergeCell ref="A5247:G5247"/>
    <mergeCell ref="A5251:F5251"/>
    <mergeCell ref="A5253:F5253"/>
    <mergeCell ref="C5210:F5210"/>
    <mergeCell ref="C5211:E5211"/>
    <mergeCell ref="A5212:G5212"/>
    <mergeCell ref="A5216:F5216"/>
    <mergeCell ref="A5218:G5218"/>
    <mergeCell ref="A5222:F5222"/>
    <mergeCell ref="C5280:E5280"/>
    <mergeCell ref="A5281:G5281"/>
    <mergeCell ref="A5285:F5285"/>
    <mergeCell ref="A5287:G5287"/>
    <mergeCell ref="A5291:F5291"/>
    <mergeCell ref="A5293:G5293"/>
    <mergeCell ref="A5297:F5297"/>
    <mergeCell ref="A5299:F5299"/>
    <mergeCell ref="C5256:F5256"/>
    <mergeCell ref="C5257:E5257"/>
    <mergeCell ref="A5258:G5258"/>
    <mergeCell ref="A5262:F5262"/>
    <mergeCell ref="A5264:G5264"/>
    <mergeCell ref="A5268:F5268"/>
    <mergeCell ref="A5270:G5270"/>
    <mergeCell ref="A5274:F5274"/>
    <mergeCell ref="A5276:F5276"/>
    <mergeCell ref="A5224:G5224"/>
    <mergeCell ref="A5228:F5228"/>
    <mergeCell ref="A5230:F5230"/>
    <mergeCell ref="C5187:F5187"/>
    <mergeCell ref="C5188:E5188"/>
    <mergeCell ref="A5189:G5189"/>
    <mergeCell ref="A5193:F5193"/>
    <mergeCell ref="A5195:G5195"/>
    <mergeCell ref="A5199:F5199"/>
    <mergeCell ref="A5201:G5201"/>
    <mergeCell ref="A5205:F5205"/>
    <mergeCell ref="A5207:F5207"/>
    <mergeCell ref="C5164:F5164"/>
    <mergeCell ref="C5165:E5165"/>
    <mergeCell ref="A5166:G5166"/>
    <mergeCell ref="A5170:F5170"/>
    <mergeCell ref="A5172:G5172"/>
    <mergeCell ref="A5176:F5176"/>
    <mergeCell ref="A5178:G5178"/>
    <mergeCell ref="A5182:F5182"/>
    <mergeCell ref="A5184:F5184"/>
    <mergeCell ref="C5141:F5141"/>
    <mergeCell ref="C5142:E5142"/>
    <mergeCell ref="A5143:G5143"/>
    <mergeCell ref="A5147:F5147"/>
    <mergeCell ref="A5149:G5149"/>
    <mergeCell ref="A5153:F5153"/>
    <mergeCell ref="A5155:G5155"/>
    <mergeCell ref="A5159:F5159"/>
    <mergeCell ref="A5161:F5161"/>
    <mergeCell ref="C5118:F5118"/>
    <mergeCell ref="C5119:E5119"/>
    <mergeCell ref="A5120:G5120"/>
    <mergeCell ref="A5124:F5124"/>
    <mergeCell ref="A5126:G5126"/>
    <mergeCell ref="A5130:F5130"/>
    <mergeCell ref="A5132:G5132"/>
    <mergeCell ref="A5136:F5136"/>
    <mergeCell ref="A5138:F5138"/>
    <mergeCell ref="C1530:F1530"/>
    <mergeCell ref="C1531:E1531"/>
    <mergeCell ref="A1532:G1532"/>
    <mergeCell ref="A1536:F1536"/>
    <mergeCell ref="A1538:G1538"/>
    <mergeCell ref="A1542:F1542"/>
    <mergeCell ref="A1544:G1544"/>
    <mergeCell ref="A1548:F1548"/>
    <mergeCell ref="A1550:F1550"/>
    <mergeCell ref="C1507:F1507"/>
    <mergeCell ref="C1508:E1508"/>
    <mergeCell ref="A1509:G1509"/>
    <mergeCell ref="A1513:F1513"/>
    <mergeCell ref="A1515:G1515"/>
    <mergeCell ref="A1519:F1519"/>
    <mergeCell ref="A1521:G1521"/>
    <mergeCell ref="A1525:F1525"/>
    <mergeCell ref="A1527:F1527"/>
    <mergeCell ref="C1484:F1484"/>
    <mergeCell ref="C1485:E1485"/>
    <mergeCell ref="A1486:G1486"/>
    <mergeCell ref="A1490:F1490"/>
    <mergeCell ref="A1492:G1492"/>
    <mergeCell ref="A1496:F1496"/>
    <mergeCell ref="A1498:G1498"/>
    <mergeCell ref="A1502:F1502"/>
    <mergeCell ref="A1504:F1504"/>
    <mergeCell ref="C1461:F1461"/>
    <mergeCell ref="C1462:E1462"/>
    <mergeCell ref="A1463:G1463"/>
    <mergeCell ref="A1467:F1467"/>
    <mergeCell ref="A1469:G1469"/>
    <mergeCell ref="A1473:F1473"/>
    <mergeCell ref="A1475:G1475"/>
    <mergeCell ref="A1479:F1479"/>
    <mergeCell ref="A1481:F1481"/>
    <mergeCell ref="C1429:F1429"/>
    <mergeCell ref="C1430:E1430"/>
    <mergeCell ref="A1431:G1431"/>
    <mergeCell ref="A1444:F1444"/>
    <mergeCell ref="A1446:G1446"/>
    <mergeCell ref="A1450:F1450"/>
    <mergeCell ref="A1452:G1452"/>
    <mergeCell ref="A1456:F1456"/>
    <mergeCell ref="A1458:F1458"/>
    <mergeCell ref="C1396:F1396"/>
    <mergeCell ref="C1397:E1397"/>
    <mergeCell ref="A1398:G1398"/>
    <mergeCell ref="A1412:F1412"/>
    <mergeCell ref="A1414:G1414"/>
    <mergeCell ref="A1418:F1418"/>
    <mergeCell ref="A1420:G1420"/>
    <mergeCell ref="A1424:F1424"/>
    <mergeCell ref="A1426:F1426"/>
    <mergeCell ref="C1365:F1365"/>
    <mergeCell ref="C1366:E1366"/>
    <mergeCell ref="A1367:G1367"/>
    <mergeCell ref="A1379:F1379"/>
    <mergeCell ref="A1381:G1381"/>
    <mergeCell ref="A1385:F1385"/>
    <mergeCell ref="A1387:G1387"/>
    <mergeCell ref="A1391:F1391"/>
    <mergeCell ref="A1393:F1393"/>
    <mergeCell ref="A1354:F1354"/>
    <mergeCell ref="A1356:G1356"/>
    <mergeCell ref="A1360:F1360"/>
    <mergeCell ref="A1362:F1362"/>
    <mergeCell ref="C1333:F1333"/>
    <mergeCell ref="C1334:E1334"/>
    <mergeCell ref="A1335:G1335"/>
    <mergeCell ref="A1348:F1348"/>
    <mergeCell ref="A1350:G1350"/>
    <mergeCell ref="A1322:F1322"/>
    <mergeCell ref="A1324:G1324"/>
    <mergeCell ref="A1328:F1328"/>
    <mergeCell ref="A1330:F1330"/>
    <mergeCell ref="A1289:F1289"/>
    <mergeCell ref="A1291:G1291"/>
    <mergeCell ref="A1295:F1295"/>
    <mergeCell ref="A1297:F1297"/>
    <mergeCell ref="C1300:F1300"/>
    <mergeCell ref="C1301:E1301"/>
    <mergeCell ref="A1302:G1302"/>
    <mergeCell ref="A1316:F1316"/>
    <mergeCell ref="A1318:G1318"/>
    <mergeCell ref="A1257:F1257"/>
    <mergeCell ref="A1259:G1259"/>
    <mergeCell ref="A1263:F1263"/>
    <mergeCell ref="A1265:F1265"/>
    <mergeCell ref="C1268:F1268"/>
    <mergeCell ref="C1269:E1269"/>
    <mergeCell ref="A1270:G1270"/>
    <mergeCell ref="A1283:F1283"/>
    <mergeCell ref="A1285:G1285"/>
    <mergeCell ref="A1227:G1227"/>
    <mergeCell ref="A1231:F1231"/>
    <mergeCell ref="A1233:F1233"/>
    <mergeCell ref="C1236:F1236"/>
    <mergeCell ref="C1237:E1237"/>
    <mergeCell ref="A1238:G1238"/>
    <mergeCell ref="A1251:F1251"/>
    <mergeCell ref="A1253:G1253"/>
    <mergeCell ref="A1193:F1193"/>
    <mergeCell ref="A1195:G1195"/>
    <mergeCell ref="A1199:F1199"/>
    <mergeCell ref="A1201:F1201"/>
    <mergeCell ref="C1204:F1204"/>
    <mergeCell ref="C1205:E1205"/>
    <mergeCell ref="A1206:G1206"/>
    <mergeCell ref="A1219:F1219"/>
    <mergeCell ref="A1221:G1221"/>
    <mergeCell ref="A1137:F1137"/>
    <mergeCell ref="A1154:F1154"/>
    <mergeCell ref="A1156:G1156"/>
    <mergeCell ref="A1139:F1139"/>
    <mergeCell ref="C1142:F1142"/>
    <mergeCell ref="C1143:E1143"/>
    <mergeCell ref="A1144:G1144"/>
    <mergeCell ref="A1161:F1161"/>
    <mergeCell ref="A1163:G1163"/>
    <mergeCell ref="A1167:F1167"/>
    <mergeCell ref="A1169:F1169"/>
    <mergeCell ref="C1172:F1172"/>
    <mergeCell ref="C1173:E1173"/>
    <mergeCell ref="A1174:G1174"/>
    <mergeCell ref="A1187:F1187"/>
    <mergeCell ref="A1189:G1189"/>
    <mergeCell ref="A1225:F1225"/>
    <mergeCell ref="A1071:F1071"/>
    <mergeCell ref="A1073:G1073"/>
    <mergeCell ref="A1077:F1077"/>
    <mergeCell ref="A1079:F1079"/>
    <mergeCell ref="C1082:F1082"/>
    <mergeCell ref="C1083:E1083"/>
    <mergeCell ref="A1084:G1084"/>
    <mergeCell ref="A1131:F1131"/>
    <mergeCell ref="A1133:G1133"/>
    <mergeCell ref="A1094:F1094"/>
    <mergeCell ref="A1096:G1096"/>
    <mergeCell ref="A1101:F1101"/>
    <mergeCell ref="A1103:G1103"/>
    <mergeCell ref="A1107:F1107"/>
    <mergeCell ref="A1109:F1109"/>
    <mergeCell ref="C1112:F1112"/>
    <mergeCell ref="C1113:E1113"/>
    <mergeCell ref="A1114:G1114"/>
    <mergeCell ref="A1124:F1124"/>
    <mergeCell ref="A1126:G1126"/>
    <mergeCell ref="A1041:F1041"/>
    <mergeCell ref="A1043:G1043"/>
    <mergeCell ref="A1047:F1047"/>
    <mergeCell ref="A1049:F1049"/>
    <mergeCell ref="A1011:F1011"/>
    <mergeCell ref="A1013:G1013"/>
    <mergeCell ref="A1017:F1017"/>
    <mergeCell ref="A1019:F1019"/>
    <mergeCell ref="C1022:F1022"/>
    <mergeCell ref="C1023:E1023"/>
    <mergeCell ref="A1024:G1024"/>
    <mergeCell ref="A1034:F1034"/>
    <mergeCell ref="A1036:G1036"/>
    <mergeCell ref="A1064:F1064"/>
    <mergeCell ref="A1066:G1066"/>
    <mergeCell ref="C1052:F1052"/>
    <mergeCell ref="C1053:E1053"/>
    <mergeCell ref="A1054:G1054"/>
    <mergeCell ref="A981:F981"/>
    <mergeCell ref="A983:G983"/>
    <mergeCell ref="A987:F987"/>
    <mergeCell ref="A989:F989"/>
    <mergeCell ref="C992:F992"/>
    <mergeCell ref="C993:E993"/>
    <mergeCell ref="A994:G994"/>
    <mergeCell ref="A1004:F1004"/>
    <mergeCell ref="A1006:G1006"/>
    <mergeCell ref="A951:F951"/>
    <mergeCell ref="A953:G953"/>
    <mergeCell ref="A957:F957"/>
    <mergeCell ref="A959:F959"/>
    <mergeCell ref="C962:F962"/>
    <mergeCell ref="C963:E963"/>
    <mergeCell ref="A964:G964"/>
    <mergeCell ref="A974:F974"/>
    <mergeCell ref="A976:G976"/>
    <mergeCell ref="A920:F920"/>
    <mergeCell ref="A922:G922"/>
    <mergeCell ref="A926:F926"/>
    <mergeCell ref="A928:F928"/>
    <mergeCell ref="C931:F931"/>
    <mergeCell ref="C932:E932"/>
    <mergeCell ref="A933:G933"/>
    <mergeCell ref="A944:F944"/>
    <mergeCell ref="A946:G946"/>
    <mergeCell ref="A889:F889"/>
    <mergeCell ref="A891:G891"/>
    <mergeCell ref="A895:F895"/>
    <mergeCell ref="A897:F897"/>
    <mergeCell ref="C900:F900"/>
    <mergeCell ref="C901:E901"/>
    <mergeCell ref="A902:G902"/>
    <mergeCell ref="A913:F913"/>
    <mergeCell ref="A915:G915"/>
    <mergeCell ref="A827:F827"/>
    <mergeCell ref="A829:G829"/>
    <mergeCell ref="A833:F833"/>
    <mergeCell ref="A835:F835"/>
    <mergeCell ref="C869:F869"/>
    <mergeCell ref="C870:E870"/>
    <mergeCell ref="A871:G871"/>
    <mergeCell ref="A882:F882"/>
    <mergeCell ref="A884:G884"/>
    <mergeCell ref="A796:F796"/>
    <mergeCell ref="A798:G798"/>
    <mergeCell ref="A802:F802"/>
    <mergeCell ref="A804:F804"/>
    <mergeCell ref="C807:F807"/>
    <mergeCell ref="C808:E808"/>
    <mergeCell ref="A809:G809"/>
    <mergeCell ref="A820:F820"/>
    <mergeCell ref="A822:G822"/>
    <mergeCell ref="C837:F837"/>
    <mergeCell ref="C838:E838"/>
    <mergeCell ref="A839:G839"/>
    <mergeCell ref="A850:F850"/>
    <mergeCell ref="A852:G852"/>
    <mergeCell ref="A857:F857"/>
    <mergeCell ref="A859:G859"/>
    <mergeCell ref="A863:F863"/>
    <mergeCell ref="A865:F865"/>
    <mergeCell ref="A765:F765"/>
    <mergeCell ref="A767:G767"/>
    <mergeCell ref="A771:F771"/>
    <mergeCell ref="A773:F773"/>
    <mergeCell ref="C776:F776"/>
    <mergeCell ref="C777:E777"/>
    <mergeCell ref="A778:G778"/>
    <mergeCell ref="A789:F789"/>
    <mergeCell ref="A791:G791"/>
    <mergeCell ref="A741:F741"/>
    <mergeCell ref="A743:G743"/>
    <mergeCell ref="A747:F747"/>
    <mergeCell ref="A749:F749"/>
    <mergeCell ref="C752:F752"/>
    <mergeCell ref="C753:E753"/>
    <mergeCell ref="A754:G754"/>
    <mergeCell ref="A759:F759"/>
    <mergeCell ref="A761:G761"/>
    <mergeCell ref="A717:F717"/>
    <mergeCell ref="A719:G719"/>
    <mergeCell ref="A723:F723"/>
    <mergeCell ref="A725:F725"/>
    <mergeCell ref="C728:F728"/>
    <mergeCell ref="C729:E729"/>
    <mergeCell ref="A730:G730"/>
    <mergeCell ref="A735:F735"/>
    <mergeCell ref="A737:G737"/>
    <mergeCell ref="A693:F693"/>
    <mergeCell ref="A695:G695"/>
    <mergeCell ref="A699:F699"/>
    <mergeCell ref="A701:F701"/>
    <mergeCell ref="C704:F704"/>
    <mergeCell ref="C705:E705"/>
    <mergeCell ref="A706:G706"/>
    <mergeCell ref="A711:F711"/>
    <mergeCell ref="A713:G713"/>
    <mergeCell ref="A669:F669"/>
    <mergeCell ref="A671:G671"/>
    <mergeCell ref="A675:F675"/>
    <mergeCell ref="A677:F677"/>
    <mergeCell ref="C680:F680"/>
    <mergeCell ref="C681:E681"/>
    <mergeCell ref="A682:G682"/>
    <mergeCell ref="A686:F686"/>
    <mergeCell ref="A688:G688"/>
    <mergeCell ref="A646:F646"/>
    <mergeCell ref="A648:G648"/>
    <mergeCell ref="A652:F652"/>
    <mergeCell ref="A654:F654"/>
    <mergeCell ref="C657:F657"/>
    <mergeCell ref="C658:E658"/>
    <mergeCell ref="A659:G659"/>
    <mergeCell ref="A663:F663"/>
    <mergeCell ref="A665:G665"/>
    <mergeCell ref="C588:F588"/>
    <mergeCell ref="C589:E589"/>
    <mergeCell ref="A590:G590"/>
    <mergeCell ref="A594:F594"/>
    <mergeCell ref="A596:G596"/>
    <mergeCell ref="A623:F623"/>
    <mergeCell ref="A625:G625"/>
    <mergeCell ref="A629:F629"/>
    <mergeCell ref="A631:F631"/>
    <mergeCell ref="C634:F634"/>
    <mergeCell ref="C635:E635"/>
    <mergeCell ref="A636:G636"/>
    <mergeCell ref="A640:F640"/>
    <mergeCell ref="A642:G642"/>
    <mergeCell ref="C611:F611"/>
    <mergeCell ref="C612:E612"/>
    <mergeCell ref="A613:G613"/>
    <mergeCell ref="A617:F617"/>
    <mergeCell ref="A619:G619"/>
    <mergeCell ref="A443:G443"/>
    <mergeCell ref="A449:F449"/>
    <mergeCell ref="A451:G451"/>
    <mergeCell ref="A554:F554"/>
    <mergeCell ref="A556:G556"/>
    <mergeCell ref="A560:F560"/>
    <mergeCell ref="A562:F562"/>
    <mergeCell ref="C565:F565"/>
    <mergeCell ref="C566:E566"/>
    <mergeCell ref="A567:G567"/>
    <mergeCell ref="A571:F571"/>
    <mergeCell ref="C415:F415"/>
    <mergeCell ref="C416:E416"/>
    <mergeCell ref="A417:G417"/>
    <mergeCell ref="A422:F422"/>
    <mergeCell ref="A424:G424"/>
    <mergeCell ref="A430:F430"/>
    <mergeCell ref="A432:G432"/>
    <mergeCell ref="A436:F436"/>
    <mergeCell ref="A438:F438"/>
    <mergeCell ref="C467:F467"/>
    <mergeCell ref="C468:E468"/>
    <mergeCell ref="A469:G469"/>
    <mergeCell ref="A474:F474"/>
    <mergeCell ref="A476:G476"/>
    <mergeCell ref="A482:F482"/>
    <mergeCell ref="A507:F507"/>
    <mergeCell ref="A509:G509"/>
    <mergeCell ref="A513:F513"/>
    <mergeCell ref="A515:F515"/>
    <mergeCell ref="C542:F542"/>
    <mergeCell ref="C543:E543"/>
    <mergeCell ref="A342:F342"/>
    <mergeCell ref="C389:F389"/>
    <mergeCell ref="C390:E390"/>
    <mergeCell ref="A391:G391"/>
    <mergeCell ref="A397:F397"/>
    <mergeCell ref="A399:G399"/>
    <mergeCell ref="A290:F290"/>
    <mergeCell ref="A292:G292"/>
    <mergeCell ref="A296:F296"/>
    <mergeCell ref="A298:F298"/>
    <mergeCell ref="C322:F322"/>
    <mergeCell ref="C323:E323"/>
    <mergeCell ref="A324:G324"/>
    <mergeCell ref="A328:F328"/>
    <mergeCell ref="A330:G330"/>
    <mergeCell ref="C344:F344"/>
    <mergeCell ref="C345:E345"/>
    <mergeCell ref="A346:G346"/>
    <mergeCell ref="A350:F350"/>
    <mergeCell ref="A352:G352"/>
    <mergeCell ref="A356:F356"/>
    <mergeCell ref="A358:G358"/>
    <mergeCell ref="A362:F362"/>
    <mergeCell ref="A364:F364"/>
    <mergeCell ref="C366:F366"/>
    <mergeCell ref="C367:E367"/>
    <mergeCell ref="A368:G368"/>
    <mergeCell ref="A372:F372"/>
    <mergeCell ref="A374:G374"/>
    <mergeCell ref="A378:F378"/>
    <mergeCell ref="A380:G380"/>
    <mergeCell ref="A384:F384"/>
    <mergeCell ref="A263:F263"/>
    <mergeCell ref="A265:G265"/>
    <mergeCell ref="A269:F269"/>
    <mergeCell ref="A271:F271"/>
    <mergeCell ref="C251:F251"/>
    <mergeCell ref="C252:E252"/>
    <mergeCell ref="A253:G253"/>
    <mergeCell ref="A257:F257"/>
    <mergeCell ref="A259:G259"/>
    <mergeCell ref="C278:F278"/>
    <mergeCell ref="C279:E279"/>
    <mergeCell ref="A280:G280"/>
    <mergeCell ref="A284:F284"/>
    <mergeCell ref="A286:G286"/>
    <mergeCell ref="A334:F334"/>
    <mergeCell ref="A336:G336"/>
    <mergeCell ref="A340:F340"/>
    <mergeCell ref="C300:F300"/>
    <mergeCell ref="C301:E301"/>
    <mergeCell ref="A302:G302"/>
    <mergeCell ref="A306:F306"/>
    <mergeCell ref="A308:G308"/>
    <mergeCell ref="A312:F312"/>
    <mergeCell ref="A314:G314"/>
    <mergeCell ref="A318:F318"/>
    <mergeCell ref="A320:F320"/>
    <mergeCell ref="A215:F215"/>
    <mergeCell ref="A217:G217"/>
    <mergeCell ref="A221:F221"/>
    <mergeCell ref="A223:F223"/>
    <mergeCell ref="A192:F192"/>
    <mergeCell ref="A194:G194"/>
    <mergeCell ref="A198:F198"/>
    <mergeCell ref="A200:F200"/>
    <mergeCell ref="C203:F203"/>
    <mergeCell ref="C204:E204"/>
    <mergeCell ref="A205:G205"/>
    <mergeCell ref="A209:F209"/>
    <mergeCell ref="A211:G211"/>
    <mergeCell ref="A240:F240"/>
    <mergeCell ref="A242:G242"/>
    <mergeCell ref="A246:F246"/>
    <mergeCell ref="A248:F248"/>
    <mergeCell ref="C228:F228"/>
    <mergeCell ref="C229:E229"/>
    <mergeCell ref="A230:G230"/>
    <mergeCell ref="A234:F234"/>
    <mergeCell ref="A236:G236"/>
    <mergeCell ref="A169:F169"/>
    <mergeCell ref="A171:G171"/>
    <mergeCell ref="A175:F175"/>
    <mergeCell ref="A177:F177"/>
    <mergeCell ref="C180:F180"/>
    <mergeCell ref="C181:E181"/>
    <mergeCell ref="A182:G182"/>
    <mergeCell ref="A186:F186"/>
    <mergeCell ref="A188:G188"/>
    <mergeCell ref="C135:E135"/>
    <mergeCell ref="A136:G136"/>
    <mergeCell ref="A140:F140"/>
    <mergeCell ref="A152:F152"/>
    <mergeCell ref="C157:F157"/>
    <mergeCell ref="C158:E158"/>
    <mergeCell ref="A159:G159"/>
    <mergeCell ref="A163:F163"/>
    <mergeCell ref="A165:G165"/>
    <mergeCell ref="A154:F154"/>
    <mergeCell ref="A73:G73"/>
    <mergeCell ref="A77:F77"/>
    <mergeCell ref="A79:G79"/>
    <mergeCell ref="A83:F83"/>
    <mergeCell ref="A85:F85"/>
    <mergeCell ref="C88:F88"/>
    <mergeCell ref="C89:E89"/>
    <mergeCell ref="C112:E112"/>
    <mergeCell ref="A113:G113"/>
    <mergeCell ref="A117:F117"/>
    <mergeCell ref="A119:G119"/>
    <mergeCell ref="A123:F123"/>
    <mergeCell ref="A125:G125"/>
    <mergeCell ref="A129:F129"/>
    <mergeCell ref="A131:F131"/>
    <mergeCell ref="C134:F134"/>
    <mergeCell ref="C111:F111"/>
    <mergeCell ref="C19:F19"/>
    <mergeCell ref="C20:E20"/>
    <mergeCell ref="A21:G21"/>
    <mergeCell ref="A25:F25"/>
    <mergeCell ref="A27:G27"/>
    <mergeCell ref="A31:F31"/>
    <mergeCell ref="A33:G33"/>
    <mergeCell ref="A37:F37"/>
    <mergeCell ref="A39:F39"/>
    <mergeCell ref="A90:G90"/>
    <mergeCell ref="A94:F94"/>
    <mergeCell ref="A96:G96"/>
    <mergeCell ref="A100:F100"/>
    <mergeCell ref="A102:G102"/>
    <mergeCell ref="A142:G142"/>
    <mergeCell ref="A146:F146"/>
    <mergeCell ref="A148:G148"/>
    <mergeCell ref="C42:F42"/>
    <mergeCell ref="C43:E43"/>
    <mergeCell ref="A44:G44"/>
    <mergeCell ref="A48:F48"/>
    <mergeCell ref="A50:G50"/>
    <mergeCell ref="A54:F54"/>
    <mergeCell ref="A56:G56"/>
    <mergeCell ref="A60:F60"/>
    <mergeCell ref="A62:F62"/>
    <mergeCell ref="C65:F65"/>
    <mergeCell ref="C66:E66"/>
    <mergeCell ref="A106:F106"/>
    <mergeCell ref="A108:F108"/>
    <mergeCell ref="A67:G67"/>
    <mergeCell ref="A71:F71"/>
    <mergeCell ref="A5565:G5565"/>
    <mergeCell ref="A5569:F5569"/>
    <mergeCell ref="A5571:G5571"/>
    <mergeCell ref="A5552:F5552"/>
    <mergeCell ref="A5554:F5554"/>
    <mergeCell ref="C5509:F5509"/>
    <mergeCell ref="C5510:E5510"/>
    <mergeCell ref="A5511:G5511"/>
    <mergeCell ref="A5515:F5515"/>
    <mergeCell ref="A5517:G5517"/>
    <mergeCell ref="A5522:F5522"/>
    <mergeCell ref="A5524:G5524"/>
    <mergeCell ref="A5575:F5575"/>
    <mergeCell ref="A5577:F5577"/>
    <mergeCell ref="C5557:F5557"/>
    <mergeCell ref="C5558:E5558"/>
    <mergeCell ref="A5559:G5559"/>
    <mergeCell ref="A5563:F5563"/>
    <mergeCell ref="A5528:F5528"/>
    <mergeCell ref="A5530:F5530"/>
    <mergeCell ref="C5533:F5533"/>
    <mergeCell ref="C5534:E5534"/>
    <mergeCell ref="A5535:G5535"/>
    <mergeCell ref="A5539:F5539"/>
    <mergeCell ref="A5541:G5541"/>
    <mergeCell ref="A5546:F5546"/>
    <mergeCell ref="A5548:G5548"/>
    <mergeCell ref="D13:E13"/>
    <mergeCell ref="F13:G13"/>
    <mergeCell ref="B13:C13"/>
    <mergeCell ref="B3:C3"/>
    <mergeCell ref="B4:C4"/>
    <mergeCell ref="B5:C5"/>
    <mergeCell ref="B2:C2"/>
    <mergeCell ref="A10:G10"/>
    <mergeCell ref="F11:G11"/>
    <mergeCell ref="D12:E12"/>
    <mergeCell ref="D11:E11"/>
    <mergeCell ref="B11:C11"/>
    <mergeCell ref="B12:C12"/>
    <mergeCell ref="F12:G12"/>
    <mergeCell ref="A7:G8"/>
    <mergeCell ref="B14:C14"/>
    <mergeCell ref="D14:E14"/>
    <mergeCell ref="F14:G14"/>
    <mergeCell ref="A386:F386"/>
    <mergeCell ref="A1659:F1659"/>
    <mergeCell ref="A1683:F1683"/>
    <mergeCell ref="A1707:F1707"/>
    <mergeCell ref="A1731:F1731"/>
    <mergeCell ref="A1755:F1755"/>
    <mergeCell ref="A1779:F1779"/>
    <mergeCell ref="A2287:F2287"/>
    <mergeCell ref="A2311:F2311"/>
    <mergeCell ref="A2335:F2335"/>
    <mergeCell ref="A2359:F2359"/>
    <mergeCell ref="A2383:F2383"/>
    <mergeCell ref="A2407:F2407"/>
    <mergeCell ref="A2431:F2431"/>
    <mergeCell ref="A457:F457"/>
    <mergeCell ref="A459:G459"/>
    <mergeCell ref="A463:F463"/>
    <mergeCell ref="A465:F465"/>
    <mergeCell ref="C491:F491"/>
    <mergeCell ref="C492:E492"/>
    <mergeCell ref="A493:G493"/>
    <mergeCell ref="A499:F499"/>
    <mergeCell ref="A501:G501"/>
    <mergeCell ref="A405:F405"/>
    <mergeCell ref="A407:G407"/>
    <mergeCell ref="A411:F411"/>
    <mergeCell ref="A413:F413"/>
    <mergeCell ref="C441:F441"/>
    <mergeCell ref="C442:E442"/>
    <mergeCell ref="A484:G484"/>
    <mergeCell ref="A488:F488"/>
    <mergeCell ref="A490:F490"/>
    <mergeCell ref="A5625:F5625"/>
    <mergeCell ref="C5580:F5580"/>
    <mergeCell ref="C5581:E5581"/>
    <mergeCell ref="A5582:G5582"/>
    <mergeCell ref="A5587:F5587"/>
    <mergeCell ref="A5589:G5589"/>
    <mergeCell ref="A5593:F5593"/>
    <mergeCell ref="A5595:G5595"/>
    <mergeCell ref="A5599:F5599"/>
    <mergeCell ref="A5601:F5601"/>
    <mergeCell ref="C5604:F5604"/>
    <mergeCell ref="C5605:E5605"/>
    <mergeCell ref="A5606:G5606"/>
    <mergeCell ref="A5611:F5611"/>
    <mergeCell ref="A5613:G5613"/>
    <mergeCell ref="A5617:F5617"/>
    <mergeCell ref="A5619:G5619"/>
    <mergeCell ref="A5623:F5623"/>
    <mergeCell ref="C517:F517"/>
    <mergeCell ref="C518:E518"/>
    <mergeCell ref="A519:G519"/>
    <mergeCell ref="A524:F524"/>
    <mergeCell ref="A526:G526"/>
    <mergeCell ref="A532:F532"/>
    <mergeCell ref="A534:G534"/>
    <mergeCell ref="A538:F538"/>
    <mergeCell ref="A540:F540"/>
    <mergeCell ref="C3212:F3212"/>
    <mergeCell ref="C3213:E3213"/>
    <mergeCell ref="A3214:G3214"/>
    <mergeCell ref="A3222:F3222"/>
    <mergeCell ref="A3224:G3224"/>
    <mergeCell ref="A2695:F2695"/>
    <mergeCell ref="A2719:F2719"/>
    <mergeCell ref="A2743:F2743"/>
    <mergeCell ref="A2767:F2767"/>
    <mergeCell ref="A2791:F2791"/>
    <mergeCell ref="A2815:F2815"/>
    <mergeCell ref="A573:G573"/>
    <mergeCell ref="A544:G544"/>
    <mergeCell ref="A548:F548"/>
    <mergeCell ref="A550:G550"/>
    <mergeCell ref="A600:F600"/>
    <mergeCell ref="A602:G602"/>
    <mergeCell ref="A606:F606"/>
    <mergeCell ref="A608:F608"/>
    <mergeCell ref="A577:F577"/>
    <mergeCell ref="A579:G579"/>
    <mergeCell ref="A583:F583"/>
    <mergeCell ref="A585:F585"/>
    <mergeCell ref="A3390:G3390"/>
    <mergeCell ref="A3394:F3394"/>
    <mergeCell ref="A3374:F3374"/>
    <mergeCell ref="A3376:F3376"/>
    <mergeCell ref="A3320:F3320"/>
    <mergeCell ref="A3322:F3322"/>
    <mergeCell ref="C3351:F3351"/>
    <mergeCell ref="C3352:E3352"/>
    <mergeCell ref="A3353:G3353"/>
    <mergeCell ref="A3362:F3362"/>
    <mergeCell ref="A3364:G3364"/>
    <mergeCell ref="A3368:F3368"/>
    <mergeCell ref="A3370:G3370"/>
    <mergeCell ref="C3408:F3408"/>
    <mergeCell ref="C4012:F4012"/>
    <mergeCell ref="C4013:E4013"/>
    <mergeCell ref="A4014:G4014"/>
    <mergeCell ref="A3400:F3400"/>
    <mergeCell ref="A3402:F3402"/>
    <mergeCell ref="A3445:F3445"/>
    <mergeCell ref="A3447:G3447"/>
    <mergeCell ref="A3451:F3451"/>
    <mergeCell ref="A3453:F3453"/>
    <mergeCell ref="C3456:F3456"/>
    <mergeCell ref="C3457:E3457"/>
    <mergeCell ref="A3458:G3458"/>
    <mergeCell ref="A3462:F3462"/>
    <mergeCell ref="A3464:G3464"/>
    <mergeCell ref="A3421:F3421"/>
    <mergeCell ref="A3423:G3423"/>
    <mergeCell ref="A3427:F3427"/>
    <mergeCell ref="A3429:F3429"/>
    <mergeCell ref="A4018:F4018"/>
    <mergeCell ref="A4020:G4020"/>
    <mergeCell ref="A4024:F4024"/>
    <mergeCell ref="A4026:G4026"/>
    <mergeCell ref="A4030:F4030"/>
    <mergeCell ref="A4032:F4032"/>
    <mergeCell ref="C4057:F4057"/>
    <mergeCell ref="C4058:E4058"/>
    <mergeCell ref="A4059:G4059"/>
    <mergeCell ref="A4063:F4063"/>
    <mergeCell ref="A4065:G4065"/>
    <mergeCell ref="A4069:F4069"/>
    <mergeCell ref="A4071:G4071"/>
    <mergeCell ref="C3409:E3409"/>
    <mergeCell ref="A3410:G3410"/>
    <mergeCell ref="A3414:F3414"/>
    <mergeCell ref="A3416:G3416"/>
    <mergeCell ref="A3492:F3492"/>
    <mergeCell ref="A3494:G3494"/>
    <mergeCell ref="A3498:F3498"/>
    <mergeCell ref="A3500:F3500"/>
    <mergeCell ref="C3503:F3503"/>
    <mergeCell ref="C3504:E3504"/>
    <mergeCell ref="A3505:G3505"/>
    <mergeCell ref="A3509:F3509"/>
    <mergeCell ref="A3511:G3511"/>
    <mergeCell ref="A3469:F3469"/>
    <mergeCell ref="A3471:G3471"/>
    <mergeCell ref="C3432:F3432"/>
    <mergeCell ref="C3433:E3433"/>
    <mergeCell ref="A3434:G3434"/>
    <mergeCell ref="A3438:F3438"/>
    <mergeCell ref="C4101:F4101"/>
    <mergeCell ref="C4102:E4102"/>
    <mergeCell ref="A4103:G4103"/>
    <mergeCell ref="A4107:F4107"/>
    <mergeCell ref="A4109:G4109"/>
    <mergeCell ref="A4113:F4113"/>
    <mergeCell ref="A4115:G4115"/>
    <mergeCell ref="A4119:F4119"/>
    <mergeCell ref="A4121:F4121"/>
    <mergeCell ref="C4147:F4147"/>
    <mergeCell ref="C4148:E4148"/>
    <mergeCell ref="A4149:G4149"/>
    <mergeCell ref="A4153:F4153"/>
    <mergeCell ref="A4155:G4155"/>
    <mergeCell ref="A4159:F4159"/>
    <mergeCell ref="A4161:G4161"/>
    <mergeCell ref="A4165:F4165"/>
    <mergeCell ref="C4192:F4192"/>
    <mergeCell ref="C4193:E4193"/>
    <mergeCell ref="A4194:G4194"/>
    <mergeCell ref="A4198:F4198"/>
    <mergeCell ref="A4200:G4200"/>
    <mergeCell ref="A4204:F4204"/>
    <mergeCell ref="A4206:G4206"/>
    <mergeCell ref="A4210:F4210"/>
    <mergeCell ref="A4212:F4212"/>
    <mergeCell ref="C4237:F4237"/>
    <mergeCell ref="C4238:E4238"/>
    <mergeCell ref="A4239:G4239"/>
    <mergeCell ref="A4243:F4243"/>
    <mergeCell ref="A4245:G4245"/>
    <mergeCell ref="A4249:F4249"/>
    <mergeCell ref="A4251:G4251"/>
    <mergeCell ref="A4255:F4255"/>
    <mergeCell ref="C4282:F4282"/>
    <mergeCell ref="C4283:E4283"/>
    <mergeCell ref="A4284:G4284"/>
    <mergeCell ref="A4288:F4288"/>
    <mergeCell ref="A4290:G4290"/>
    <mergeCell ref="A4294:F4294"/>
    <mergeCell ref="A4296:G4296"/>
    <mergeCell ref="A4300:F4300"/>
    <mergeCell ref="A4302:F4302"/>
    <mergeCell ref="C4326:F4326"/>
    <mergeCell ref="C4327:E4327"/>
    <mergeCell ref="A4328:G4328"/>
    <mergeCell ref="A4332:F4332"/>
    <mergeCell ref="A4334:G4334"/>
    <mergeCell ref="A4338:F4338"/>
    <mergeCell ref="A4340:G4340"/>
    <mergeCell ref="A4344:F4344"/>
    <mergeCell ref="C4371:F4371"/>
    <mergeCell ref="C4372:E4372"/>
    <mergeCell ref="A4373:G4373"/>
    <mergeCell ref="A4377:F4377"/>
    <mergeCell ref="A4379:G4379"/>
    <mergeCell ref="A4383:F4383"/>
    <mergeCell ref="A4385:G4385"/>
    <mergeCell ref="A4389:F4389"/>
    <mergeCell ref="A4391:F4391"/>
    <mergeCell ref="C4416:F4416"/>
    <mergeCell ref="C4417:E4417"/>
    <mergeCell ref="A4418:G4418"/>
    <mergeCell ref="A4422:F4422"/>
    <mergeCell ref="A4424:G4424"/>
    <mergeCell ref="A4428:F4428"/>
    <mergeCell ref="A4430:G4430"/>
    <mergeCell ref="A4434:F4434"/>
    <mergeCell ref="C4461:F4461"/>
    <mergeCell ref="C4462:E4462"/>
    <mergeCell ref="A4463:G4463"/>
    <mergeCell ref="A4467:F4467"/>
    <mergeCell ref="A4469:G4469"/>
    <mergeCell ref="A4473:F4473"/>
    <mergeCell ref="A4475:G4475"/>
    <mergeCell ref="A4479:F4479"/>
    <mergeCell ref="A4481:F4481"/>
    <mergeCell ref="C4505:F4505"/>
    <mergeCell ref="C4506:E4506"/>
    <mergeCell ref="A4507:G4507"/>
    <mergeCell ref="A4511:F4511"/>
    <mergeCell ref="A4513:G4513"/>
    <mergeCell ref="A4517:F4517"/>
    <mergeCell ref="A4519:G4519"/>
    <mergeCell ref="A4523:F4523"/>
  </mergeCells>
  <printOptions horizontalCentered="1"/>
  <pageMargins left="0.47244094488188981" right="0.47244094488188981" top="0.78740157480314965" bottom="0.78740157480314965" header="0.31496062992125984" footer="0.31496062992125984"/>
  <pageSetup paperSize="9" scale="66" fitToHeight="0" orientation="portrait" r:id="rId1"/>
  <headerFooter>
    <oddFooter>&amp;R&amp;P/&amp;N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202"/>
  <sheetViews>
    <sheetView showGridLines="0" topLeftCell="A184" zoomScaleNormal="100" zoomScaleSheetLayoutView="98" workbookViewId="0">
      <selection activeCell="A12" sqref="A12"/>
    </sheetView>
  </sheetViews>
  <sheetFormatPr defaultColWidth="9.140625" defaultRowHeight="12"/>
  <cols>
    <col min="1" max="1" width="14.42578125" style="109" customWidth="1"/>
    <col min="2" max="2" width="75.85546875" style="166" customWidth="1"/>
    <col min="3" max="3" width="9.140625" style="109"/>
    <col min="4" max="4" width="27.28515625" style="181" customWidth="1"/>
    <col min="5" max="5" width="11.42578125" style="110" customWidth="1"/>
    <col min="6" max="6" width="12.85546875" style="110" customWidth="1"/>
    <col min="7" max="7" width="27.28515625" style="181" customWidth="1"/>
    <col min="8" max="8" width="11.42578125" style="110" customWidth="1"/>
    <col min="9" max="9" width="13" style="110" customWidth="1"/>
    <col min="10" max="10" width="27.28515625" style="181" customWidth="1"/>
    <col min="11" max="11" width="11.42578125" style="110" customWidth="1"/>
    <col min="12" max="12" width="12.85546875" style="110" customWidth="1"/>
    <col min="13" max="13" width="14.28515625" style="111" customWidth="1"/>
    <col min="14" max="14" width="28.28515625" style="132" customWidth="1"/>
    <col min="15" max="17" width="9.140625" style="106"/>
    <col min="18" max="18" width="11.28515625" style="106" bestFit="1" customWidth="1"/>
    <col min="19" max="16384" width="9.140625" style="106"/>
  </cols>
  <sheetData>
    <row r="1" spans="1:15" s="2" customFormat="1" ht="4.5" customHeight="1">
      <c r="A1" s="688"/>
      <c r="B1" s="688"/>
      <c r="C1" s="688"/>
      <c r="D1" s="688"/>
      <c r="E1" s="688"/>
      <c r="F1" s="688"/>
      <c r="G1" s="688"/>
      <c r="H1" s="688"/>
      <c r="I1" s="688"/>
      <c r="J1" s="688"/>
      <c r="K1" s="884"/>
      <c r="L1" s="884"/>
      <c r="M1" s="884"/>
      <c r="N1" s="884"/>
      <c r="O1" s="114"/>
    </row>
    <row r="2" spans="1:15" s="2" customFormat="1" ht="30" customHeight="1">
      <c r="A2" s="139" t="s">
        <v>0</v>
      </c>
      <c r="B2" s="770" t="s">
        <v>1</v>
      </c>
      <c r="C2" s="771"/>
      <c r="D2" s="771"/>
      <c r="E2" s="771"/>
      <c r="F2" s="771"/>
      <c r="G2" s="771"/>
      <c r="H2" s="771"/>
      <c r="I2" s="771"/>
      <c r="J2" s="771"/>
      <c r="K2" s="273"/>
      <c r="L2" s="147"/>
      <c r="M2" s="148"/>
      <c r="N2" s="167"/>
      <c r="O2" s="114"/>
    </row>
    <row r="3" spans="1:15" s="2" customFormat="1" ht="30" customHeight="1">
      <c r="A3" s="253" t="s">
        <v>5</v>
      </c>
      <c r="B3" s="770" t="s">
        <v>6</v>
      </c>
      <c r="C3" s="771"/>
      <c r="D3" s="771"/>
      <c r="E3" s="771"/>
      <c r="F3" s="771"/>
      <c r="G3" s="771"/>
      <c r="H3" s="771"/>
      <c r="I3" s="771"/>
      <c r="J3" s="771"/>
      <c r="K3" s="384"/>
      <c r="L3" s="23"/>
      <c r="N3" s="156"/>
      <c r="O3" s="114"/>
    </row>
    <row r="4" spans="1:15" s="2" customFormat="1" ht="30" customHeight="1">
      <c r="A4" s="135" t="s">
        <v>9</v>
      </c>
      <c r="B4" s="770" t="s">
        <v>10</v>
      </c>
      <c r="C4" s="771"/>
      <c r="D4" s="771"/>
      <c r="E4" s="771"/>
      <c r="F4" s="771"/>
      <c r="G4" s="771"/>
      <c r="H4" s="771"/>
      <c r="I4" s="771"/>
      <c r="J4" s="771"/>
      <c r="K4" s="273"/>
      <c r="L4" s="23"/>
      <c r="N4" s="156"/>
      <c r="O4" s="114"/>
    </row>
    <row r="5" spans="1:15" s="2" customFormat="1" ht="30" customHeight="1">
      <c r="A5" s="135" t="s">
        <v>14</v>
      </c>
      <c r="B5" s="773" t="s">
        <v>15</v>
      </c>
      <c r="C5" s="774"/>
      <c r="D5" s="774"/>
      <c r="E5" s="774"/>
      <c r="F5" s="774"/>
      <c r="G5" s="774"/>
      <c r="H5" s="774"/>
      <c r="I5" s="774"/>
      <c r="J5" s="774"/>
      <c r="K5" s="384"/>
      <c r="L5" s="25"/>
      <c r="M5" s="26"/>
      <c r="N5" s="198"/>
      <c r="O5" s="114"/>
    </row>
    <row r="6" spans="1:15" s="2" customFormat="1" ht="4.5" customHeight="1">
      <c r="A6" s="688"/>
      <c r="B6" s="688"/>
      <c r="C6" s="688"/>
      <c r="D6" s="688"/>
      <c r="E6" s="688"/>
      <c r="F6" s="688"/>
      <c r="G6" s="688"/>
      <c r="H6" s="688"/>
      <c r="I6" s="688"/>
      <c r="J6" s="688"/>
      <c r="K6" s="885"/>
      <c r="L6" s="885"/>
      <c r="M6" s="885"/>
      <c r="N6" s="885"/>
      <c r="O6" s="114"/>
    </row>
    <row r="7" spans="1:15" s="2" customFormat="1" ht="33" customHeight="1">
      <c r="A7" s="886" t="s">
        <v>2271</v>
      </c>
      <c r="B7" s="886"/>
      <c r="C7" s="886"/>
      <c r="D7" s="886"/>
      <c r="E7" s="886"/>
      <c r="F7" s="886"/>
      <c r="G7" s="886"/>
      <c r="H7" s="886"/>
      <c r="I7" s="886"/>
      <c r="J7" s="886"/>
      <c r="K7" s="886"/>
      <c r="L7" s="886"/>
      <c r="M7" s="886"/>
      <c r="N7" s="886"/>
      <c r="O7" s="114"/>
    </row>
    <row r="8" spans="1:15" s="2" customFormat="1" ht="4.5" customHeight="1">
      <c r="A8" s="688"/>
      <c r="B8" s="688"/>
      <c r="C8" s="688"/>
      <c r="D8" s="688"/>
      <c r="E8" s="688"/>
      <c r="F8" s="688"/>
      <c r="G8" s="688"/>
      <c r="H8" s="688"/>
      <c r="I8" s="688"/>
      <c r="J8" s="688"/>
      <c r="K8" s="688"/>
      <c r="L8" s="688"/>
      <c r="M8" s="688"/>
      <c r="N8" s="688"/>
      <c r="O8" s="114"/>
    </row>
    <row r="9" spans="1:15" s="2" customFormat="1" ht="20.100000000000001" customHeight="1">
      <c r="A9" s="844" t="s">
        <v>17</v>
      </c>
      <c r="B9" s="844"/>
      <c r="C9" s="844"/>
      <c r="D9" s="844"/>
      <c r="E9" s="844"/>
      <c r="F9" s="844"/>
      <c r="G9" s="844"/>
      <c r="H9" s="844"/>
      <c r="I9" s="844"/>
      <c r="J9" s="844"/>
      <c r="K9" s="844"/>
      <c r="L9" s="844"/>
      <c r="M9" s="844"/>
      <c r="N9" s="844"/>
      <c r="O9" s="114"/>
    </row>
    <row r="10" spans="1:15" s="2" customFormat="1" ht="20.100000000000001" customHeight="1">
      <c r="A10" s="134" t="s">
        <v>18</v>
      </c>
      <c r="B10" s="715" t="s">
        <v>19</v>
      </c>
      <c r="C10" s="716"/>
      <c r="D10" s="716"/>
      <c r="E10" s="709" t="s">
        <v>20</v>
      </c>
      <c r="F10" s="709"/>
      <c r="G10" s="709"/>
      <c r="H10" s="715" t="s">
        <v>21</v>
      </c>
      <c r="I10" s="716"/>
      <c r="J10" s="716"/>
      <c r="K10" s="716"/>
      <c r="L10" s="716"/>
      <c r="M10" s="716"/>
      <c r="N10" s="717"/>
      <c r="O10" s="114"/>
    </row>
    <row r="11" spans="1:15" s="2" customFormat="1" ht="20.100000000000001" customHeight="1">
      <c r="A11" s="28" t="s">
        <v>125</v>
      </c>
      <c r="B11" s="712" t="s">
        <v>23</v>
      </c>
      <c r="C11" s="713"/>
      <c r="D11" s="713"/>
      <c r="E11" s="809">
        <v>45427</v>
      </c>
      <c r="F11" s="809"/>
      <c r="G11" s="809"/>
      <c r="H11" s="712" t="s">
        <v>24</v>
      </c>
      <c r="I11" s="713"/>
      <c r="J11" s="713"/>
      <c r="K11" s="713"/>
      <c r="L11" s="713"/>
      <c r="M11" s="713"/>
      <c r="N11" s="714"/>
      <c r="O11" s="114"/>
    </row>
    <row r="12" spans="1:15" s="2" customFormat="1" ht="20.100000000000001" customHeight="1">
      <c r="A12" s="28" t="str">
        <f>'Planilha Resumo'!A12</f>
        <v>R8</v>
      </c>
      <c r="B12" s="712" t="str">
        <f>'Planilha Resumo'!B12</f>
        <v>Atendendo à Comentários</v>
      </c>
      <c r="C12" s="713"/>
      <c r="D12" s="713"/>
      <c r="E12" s="809">
        <f>'Planilha Resumo'!C12</f>
        <v>45496</v>
      </c>
      <c r="F12" s="809"/>
      <c r="G12" s="809"/>
      <c r="H12" s="712" t="str">
        <f>'Planilha Resumo'!E12</f>
        <v>Grazielle Cruz/ Marcelo F. Pereira</v>
      </c>
      <c r="I12" s="713"/>
      <c r="J12" s="713"/>
      <c r="K12" s="713"/>
      <c r="L12" s="713"/>
      <c r="M12" s="713"/>
      <c r="N12" s="714"/>
      <c r="O12" s="114"/>
    </row>
    <row r="13" spans="1:15" s="2" customFormat="1" ht="20.100000000000001" customHeight="1">
      <c r="A13" s="28" t="str">
        <f>'Planilha Resumo'!A13</f>
        <v>R9</v>
      </c>
      <c r="B13" s="712" t="str">
        <f>'Planilha Resumo'!B13</f>
        <v>Atendendo à Comentários</v>
      </c>
      <c r="C13" s="713"/>
      <c r="D13" s="713"/>
      <c r="E13" s="809">
        <f>'Planilha Resumo'!C13</f>
        <v>45504</v>
      </c>
      <c r="F13" s="809"/>
      <c r="G13" s="809"/>
      <c r="H13" s="712" t="str">
        <f>'Planilha Resumo'!E13</f>
        <v>Grazielle Cruz/ Marcelo F. Pereira</v>
      </c>
      <c r="I13" s="713"/>
      <c r="J13" s="713"/>
      <c r="K13" s="713"/>
      <c r="L13" s="713"/>
      <c r="M13" s="713"/>
      <c r="N13" s="714"/>
      <c r="O13" s="114"/>
    </row>
    <row r="14" spans="1:15" s="2" customFormat="1" ht="4.5" customHeight="1">
      <c r="A14" s="876"/>
      <c r="B14" s="877"/>
      <c r="C14" s="877"/>
      <c r="D14" s="877"/>
      <c r="E14" s="877"/>
      <c r="F14" s="877"/>
      <c r="G14" s="877"/>
      <c r="H14" s="877"/>
      <c r="I14" s="877"/>
      <c r="J14" s="877"/>
      <c r="K14" s="877"/>
      <c r="L14" s="877"/>
      <c r="M14" s="877"/>
      <c r="N14" s="878"/>
      <c r="O14" s="114"/>
    </row>
    <row r="15" spans="1:15" ht="20.25" customHeight="1">
      <c r="A15" s="874" t="s">
        <v>131</v>
      </c>
      <c r="B15" s="882" t="s">
        <v>1281</v>
      </c>
      <c r="C15" s="874" t="s">
        <v>127</v>
      </c>
      <c r="D15" s="873" t="s">
        <v>2272</v>
      </c>
      <c r="E15" s="873"/>
      <c r="F15" s="873"/>
      <c r="G15" s="870" t="s">
        <v>2273</v>
      </c>
      <c r="H15" s="871"/>
      <c r="I15" s="872"/>
      <c r="J15" s="870" t="s">
        <v>2274</v>
      </c>
      <c r="K15" s="871"/>
      <c r="L15" s="872"/>
      <c r="M15" s="869" t="s">
        <v>2275</v>
      </c>
      <c r="N15" s="869" t="s">
        <v>2276</v>
      </c>
    </row>
    <row r="16" spans="1:15" ht="24">
      <c r="A16" s="875"/>
      <c r="B16" s="883"/>
      <c r="C16" s="875"/>
      <c r="D16" s="200" t="s">
        <v>2277</v>
      </c>
      <c r="E16" s="199" t="s">
        <v>20</v>
      </c>
      <c r="F16" s="199" t="s">
        <v>2278</v>
      </c>
      <c r="G16" s="200" t="s">
        <v>2277</v>
      </c>
      <c r="H16" s="199" t="s">
        <v>20</v>
      </c>
      <c r="I16" s="199" t="s">
        <v>2278</v>
      </c>
      <c r="J16" s="200" t="s">
        <v>2277</v>
      </c>
      <c r="K16" s="199" t="s">
        <v>20</v>
      </c>
      <c r="L16" s="199" t="s">
        <v>2278</v>
      </c>
      <c r="M16" s="869"/>
      <c r="N16" s="869"/>
    </row>
    <row r="17" spans="1:21" ht="48">
      <c r="A17" s="187" t="s">
        <v>1918</v>
      </c>
      <c r="B17" s="165" t="s">
        <v>170</v>
      </c>
      <c r="C17" s="373" t="s">
        <v>167</v>
      </c>
      <c r="D17" s="180" t="s">
        <v>2279</v>
      </c>
      <c r="E17" s="238">
        <v>45439</v>
      </c>
      <c r="F17" s="108">
        <v>462.36</v>
      </c>
      <c r="G17" s="180" t="s">
        <v>2280</v>
      </c>
      <c r="H17" s="238">
        <v>45446</v>
      </c>
      <c r="I17" s="108">
        <v>435.06</v>
      </c>
      <c r="J17" s="180" t="s">
        <v>2281</v>
      </c>
      <c r="K17" s="238">
        <v>45446</v>
      </c>
      <c r="L17" s="108">
        <v>490.34</v>
      </c>
      <c r="M17" s="107">
        <f t="shared" ref="M17:M34" si="0">MEDIAN(F17,I17,L17)</f>
        <v>462.36</v>
      </c>
      <c r="N17" s="130"/>
      <c r="R17"/>
      <c r="S17"/>
      <c r="T17"/>
      <c r="U17"/>
    </row>
    <row r="18" spans="1:21" ht="48">
      <c r="A18" s="187" t="s">
        <v>1921</v>
      </c>
      <c r="B18" s="165" t="s">
        <v>237</v>
      </c>
      <c r="C18" s="373" t="s">
        <v>167</v>
      </c>
      <c r="D18" s="180" t="s">
        <v>2279</v>
      </c>
      <c r="E18" s="238">
        <v>45439</v>
      </c>
      <c r="F18" s="108">
        <v>400</v>
      </c>
      <c r="G18" s="180" t="s">
        <v>2281</v>
      </c>
      <c r="H18" s="238">
        <v>45446</v>
      </c>
      <c r="I18" s="108">
        <v>450</v>
      </c>
      <c r="J18" s="180" t="s">
        <v>2282</v>
      </c>
      <c r="K18" s="238">
        <v>45443</v>
      </c>
      <c r="L18" s="108">
        <v>520</v>
      </c>
      <c r="M18" s="107">
        <f t="shared" si="0"/>
        <v>450</v>
      </c>
      <c r="N18" s="130"/>
      <c r="R18"/>
      <c r="S18"/>
      <c r="T18"/>
      <c r="U18"/>
    </row>
    <row r="19" spans="1:21" ht="15">
      <c r="A19" s="187" t="s">
        <v>1927</v>
      </c>
      <c r="B19" s="165" t="s">
        <v>862</v>
      </c>
      <c r="C19" s="373" t="s">
        <v>167</v>
      </c>
      <c r="D19" s="180" t="s">
        <v>2283</v>
      </c>
      <c r="E19" s="238">
        <v>45443</v>
      </c>
      <c r="F19" s="108">
        <v>6.81</v>
      </c>
      <c r="G19" s="180" t="s">
        <v>2284</v>
      </c>
      <c r="H19" s="238">
        <v>45446</v>
      </c>
      <c r="I19" s="108">
        <v>18.05</v>
      </c>
      <c r="J19" s="180" t="s">
        <v>2285</v>
      </c>
      <c r="K19" s="238">
        <v>45446</v>
      </c>
      <c r="L19" s="108">
        <v>24.47</v>
      </c>
      <c r="M19" s="107">
        <f t="shared" si="0"/>
        <v>18.05</v>
      </c>
      <c r="N19" s="130"/>
      <c r="R19"/>
      <c r="S19"/>
      <c r="T19"/>
      <c r="U19"/>
    </row>
    <row r="20" spans="1:21" ht="36">
      <c r="A20" s="187" t="s">
        <v>1933</v>
      </c>
      <c r="B20" s="165" t="s">
        <v>1483</v>
      </c>
      <c r="C20" s="373" t="s">
        <v>167</v>
      </c>
      <c r="D20" s="180" t="s">
        <v>2286</v>
      </c>
      <c r="E20" s="238">
        <v>45423</v>
      </c>
      <c r="F20" s="108">
        <v>253988</v>
      </c>
      <c r="G20" s="180" t="s">
        <v>2287</v>
      </c>
      <c r="H20" s="238">
        <v>45446</v>
      </c>
      <c r="I20" s="108">
        <v>265250</v>
      </c>
      <c r="J20" s="180" t="s">
        <v>2288</v>
      </c>
      <c r="K20" s="238">
        <v>45446</v>
      </c>
      <c r="L20" s="108">
        <v>260850</v>
      </c>
      <c r="M20" s="107">
        <f t="shared" si="0"/>
        <v>260850</v>
      </c>
      <c r="N20" s="130"/>
      <c r="R20"/>
      <c r="S20"/>
      <c r="T20"/>
      <c r="U20"/>
    </row>
    <row r="21" spans="1:21" ht="96">
      <c r="A21" s="187" t="s">
        <v>1935</v>
      </c>
      <c r="B21" s="165" t="s">
        <v>394</v>
      </c>
      <c r="C21" s="373" t="s">
        <v>167</v>
      </c>
      <c r="D21" s="180" t="s">
        <v>2289</v>
      </c>
      <c r="E21" s="238">
        <v>45422</v>
      </c>
      <c r="F21" s="108">
        <v>1025636.64</v>
      </c>
      <c r="G21" s="180" t="s">
        <v>2290</v>
      </c>
      <c r="H21" s="238">
        <v>45446</v>
      </c>
      <c r="I21" s="108">
        <v>1104224.18</v>
      </c>
      <c r="J21" s="180" t="s">
        <v>2291</v>
      </c>
      <c r="K21" s="238">
        <v>45446</v>
      </c>
      <c r="L21" s="108">
        <v>1035893.0064000001</v>
      </c>
      <c r="M21" s="107">
        <f t="shared" si="0"/>
        <v>1035893.0064000001</v>
      </c>
      <c r="N21" s="130"/>
      <c r="R21"/>
      <c r="S21"/>
      <c r="T21"/>
      <c r="U21"/>
    </row>
    <row r="22" spans="1:21" ht="84">
      <c r="A22" s="187" t="s">
        <v>1938</v>
      </c>
      <c r="B22" s="165" t="s">
        <v>1258</v>
      </c>
      <c r="C22" s="373" t="s">
        <v>163</v>
      </c>
      <c r="D22" s="180" t="s">
        <v>2292</v>
      </c>
      <c r="E22" s="238">
        <v>45422</v>
      </c>
      <c r="F22" s="108">
        <v>30000</v>
      </c>
      <c r="G22" s="180" t="s">
        <v>2290</v>
      </c>
      <c r="H22" s="238">
        <v>45446</v>
      </c>
      <c r="I22" s="108">
        <v>32150</v>
      </c>
      <c r="J22" s="180" t="s">
        <v>2291</v>
      </c>
      <c r="K22" s="238">
        <v>45446</v>
      </c>
      <c r="L22" s="108">
        <v>30089.999999999996</v>
      </c>
      <c r="M22" s="107">
        <f t="shared" si="0"/>
        <v>30089.999999999996</v>
      </c>
      <c r="N22" s="130"/>
      <c r="R22"/>
      <c r="S22"/>
      <c r="T22"/>
      <c r="U22"/>
    </row>
    <row r="23" spans="1:21" ht="84">
      <c r="A23" s="187" t="s">
        <v>1941</v>
      </c>
      <c r="B23" s="165" t="s">
        <v>399</v>
      </c>
      <c r="C23" s="373" t="s">
        <v>167</v>
      </c>
      <c r="D23" s="180" t="s">
        <v>2293</v>
      </c>
      <c r="E23" s="238">
        <v>45408</v>
      </c>
      <c r="F23" s="108">
        <v>71650</v>
      </c>
      <c r="G23" s="180" t="s">
        <v>2290</v>
      </c>
      <c r="H23" s="238">
        <v>45446</v>
      </c>
      <c r="I23" s="108">
        <v>70160</v>
      </c>
      <c r="J23" s="180" t="s">
        <v>2291</v>
      </c>
      <c r="K23" s="238">
        <v>45446</v>
      </c>
      <c r="L23" s="108">
        <v>71864.95</v>
      </c>
      <c r="M23" s="107">
        <f t="shared" si="0"/>
        <v>71650</v>
      </c>
      <c r="N23" s="130"/>
      <c r="R23"/>
      <c r="S23"/>
      <c r="T23"/>
      <c r="U23"/>
    </row>
    <row r="24" spans="1:21" ht="84">
      <c r="A24" s="187" t="s">
        <v>1950</v>
      </c>
      <c r="B24" s="165" t="s">
        <v>402</v>
      </c>
      <c r="C24" s="373" t="s">
        <v>167</v>
      </c>
      <c r="D24" s="180" t="s">
        <v>2293</v>
      </c>
      <c r="E24" s="238">
        <v>45408</v>
      </c>
      <c r="F24" s="108">
        <v>32800</v>
      </c>
      <c r="G24" s="180" t="s">
        <v>2290</v>
      </c>
      <c r="H24" s="238">
        <v>45446</v>
      </c>
      <c r="I24" s="108">
        <v>31120</v>
      </c>
      <c r="J24" s="180" t="s">
        <v>2291</v>
      </c>
      <c r="K24" s="238">
        <v>45446</v>
      </c>
      <c r="L24" s="108">
        <v>32898.399999999994</v>
      </c>
      <c r="M24" s="107">
        <f t="shared" si="0"/>
        <v>32800</v>
      </c>
      <c r="N24" s="130"/>
      <c r="R24"/>
      <c r="S24"/>
      <c r="T24"/>
      <c r="U24"/>
    </row>
    <row r="25" spans="1:21" ht="84">
      <c r="A25" s="187" t="s">
        <v>1951</v>
      </c>
      <c r="B25" s="165" t="s">
        <v>405</v>
      </c>
      <c r="C25" s="373" t="s">
        <v>167</v>
      </c>
      <c r="D25" s="180" t="s">
        <v>2293</v>
      </c>
      <c r="E25" s="238">
        <v>45408</v>
      </c>
      <c r="F25" s="108">
        <v>21300</v>
      </c>
      <c r="G25" s="180" t="s">
        <v>2290</v>
      </c>
      <c r="H25" s="238">
        <v>45446</v>
      </c>
      <c r="I25" s="108">
        <v>22120</v>
      </c>
      <c r="J25" s="180" t="s">
        <v>2291</v>
      </c>
      <c r="K25" s="238">
        <v>45446</v>
      </c>
      <c r="L25" s="108">
        <v>21363.899999999998</v>
      </c>
      <c r="M25" s="107">
        <f t="shared" si="0"/>
        <v>21363.899999999998</v>
      </c>
      <c r="N25" s="130"/>
      <c r="R25"/>
      <c r="S25"/>
      <c r="T25"/>
      <c r="U25"/>
    </row>
    <row r="26" spans="1:21" ht="60">
      <c r="A26" s="187" t="s">
        <v>1952</v>
      </c>
      <c r="B26" s="165" t="s">
        <v>408</v>
      </c>
      <c r="C26" s="373" t="s">
        <v>167</v>
      </c>
      <c r="D26" s="180" t="s">
        <v>2294</v>
      </c>
      <c r="E26" s="238">
        <v>45411</v>
      </c>
      <c r="F26" s="108">
        <v>1494.62</v>
      </c>
      <c r="G26" s="180" t="s">
        <v>2290</v>
      </c>
      <c r="H26" s="238">
        <v>45446</v>
      </c>
      <c r="I26" s="108">
        <v>1552.12</v>
      </c>
      <c r="J26" s="180" t="s">
        <v>2291</v>
      </c>
      <c r="K26" s="238">
        <v>45446</v>
      </c>
      <c r="L26" s="108">
        <v>1499.1038599999997</v>
      </c>
      <c r="M26" s="107">
        <f t="shared" si="0"/>
        <v>1499.1038599999997</v>
      </c>
      <c r="N26" s="130"/>
      <c r="R26"/>
      <c r="S26"/>
      <c r="T26"/>
      <c r="U26"/>
    </row>
    <row r="27" spans="1:21" ht="60">
      <c r="A27" s="187" t="s">
        <v>1953</v>
      </c>
      <c r="B27" s="180" t="s">
        <v>411</v>
      </c>
      <c r="C27" s="373" t="s">
        <v>167</v>
      </c>
      <c r="D27" s="180" t="s">
        <v>2294</v>
      </c>
      <c r="E27" s="238">
        <v>45411</v>
      </c>
      <c r="F27" s="108">
        <v>4129.58</v>
      </c>
      <c r="G27" s="180" t="s">
        <v>2290</v>
      </c>
      <c r="H27" s="238">
        <v>45446</v>
      </c>
      <c r="I27" s="108">
        <v>4018.87</v>
      </c>
      <c r="J27" s="180" t="s">
        <v>2291</v>
      </c>
      <c r="K27" s="238">
        <v>45446</v>
      </c>
      <c r="L27" s="108">
        <v>4141.9687399999993</v>
      </c>
      <c r="M27" s="107">
        <f t="shared" si="0"/>
        <v>4129.58</v>
      </c>
      <c r="N27" s="130"/>
      <c r="R27"/>
      <c r="S27"/>
      <c r="T27"/>
      <c r="U27"/>
    </row>
    <row r="28" spans="1:21" ht="24">
      <c r="A28" s="187" t="s">
        <v>1954</v>
      </c>
      <c r="B28" s="165" t="s">
        <v>414</v>
      </c>
      <c r="C28" s="373" t="s">
        <v>167</v>
      </c>
      <c r="D28" s="180" t="s">
        <v>2295</v>
      </c>
      <c r="E28" s="238">
        <v>45443</v>
      </c>
      <c r="F28" s="108">
        <v>2550</v>
      </c>
      <c r="G28" s="180" t="s">
        <v>2290</v>
      </c>
      <c r="H28" s="238">
        <v>45446</v>
      </c>
      <c r="I28" s="108">
        <v>2661.01</v>
      </c>
      <c r="J28" s="180" t="s">
        <v>2291</v>
      </c>
      <c r="K28" s="238">
        <v>45446</v>
      </c>
      <c r="L28" s="108">
        <v>2529.6</v>
      </c>
      <c r="M28" s="107">
        <f t="shared" si="0"/>
        <v>2550</v>
      </c>
      <c r="N28" s="130"/>
      <c r="R28"/>
      <c r="S28"/>
      <c r="T28"/>
      <c r="U28"/>
    </row>
    <row r="29" spans="1:21" ht="24">
      <c r="A29" s="187" t="s">
        <v>1955</v>
      </c>
      <c r="B29" s="165" t="s">
        <v>441</v>
      </c>
      <c r="C29" s="373" t="s">
        <v>167</v>
      </c>
      <c r="D29" s="180" t="s">
        <v>2296</v>
      </c>
      <c r="E29" s="238">
        <v>45443</v>
      </c>
      <c r="F29" s="108">
        <v>70.33</v>
      </c>
      <c r="G29" s="180" t="s">
        <v>2290</v>
      </c>
      <c r="H29" s="238">
        <v>45446</v>
      </c>
      <c r="I29" s="108">
        <v>80.25</v>
      </c>
      <c r="J29" s="180" t="s">
        <v>2291</v>
      </c>
      <c r="K29" s="238">
        <v>45446</v>
      </c>
      <c r="L29" s="108">
        <v>69.767359999999996</v>
      </c>
      <c r="M29" s="107">
        <f t="shared" si="0"/>
        <v>70.33</v>
      </c>
      <c r="N29" s="130"/>
      <c r="R29"/>
      <c r="S29"/>
      <c r="T29"/>
      <c r="U29"/>
    </row>
    <row r="30" spans="1:21" ht="36">
      <c r="A30" s="187" t="s">
        <v>1957</v>
      </c>
      <c r="B30" s="165" t="s">
        <v>426</v>
      </c>
      <c r="C30" s="373" t="s">
        <v>167</v>
      </c>
      <c r="D30" s="180" t="s">
        <v>2297</v>
      </c>
      <c r="E30" s="238">
        <v>45443</v>
      </c>
      <c r="F30" s="108">
        <v>819.72</v>
      </c>
      <c r="G30" s="180" t="s">
        <v>2290</v>
      </c>
      <c r="H30" s="238">
        <v>45446</v>
      </c>
      <c r="I30" s="108">
        <v>830</v>
      </c>
      <c r="J30" s="180" t="s">
        <v>2291</v>
      </c>
      <c r="K30" s="238">
        <v>45446</v>
      </c>
      <c r="L30" s="108">
        <v>813.16224</v>
      </c>
      <c r="M30" s="107">
        <f t="shared" si="0"/>
        <v>819.72</v>
      </c>
      <c r="N30" s="130"/>
      <c r="R30"/>
      <c r="S30"/>
      <c r="T30"/>
      <c r="U30"/>
    </row>
    <row r="31" spans="1:21" ht="36">
      <c r="A31" s="187" t="s">
        <v>1959</v>
      </c>
      <c r="B31" s="165" t="s">
        <v>1958</v>
      </c>
      <c r="C31" s="373" t="s">
        <v>167</v>
      </c>
      <c r="D31" s="180" t="s">
        <v>2298</v>
      </c>
      <c r="E31" s="238">
        <v>45443</v>
      </c>
      <c r="F31" s="108">
        <v>134.69999999999999</v>
      </c>
      <c r="G31" s="180" t="s">
        <v>2290</v>
      </c>
      <c r="H31" s="238">
        <v>45446</v>
      </c>
      <c r="I31" s="108">
        <v>132</v>
      </c>
      <c r="J31" s="180" t="s">
        <v>2291</v>
      </c>
      <c r="K31" s="238">
        <v>45446</v>
      </c>
      <c r="L31" s="108">
        <v>133.6224</v>
      </c>
      <c r="M31" s="107">
        <f t="shared" si="0"/>
        <v>133.6224</v>
      </c>
      <c r="N31" s="130"/>
      <c r="R31"/>
      <c r="S31"/>
      <c r="T31"/>
      <c r="U31"/>
    </row>
    <row r="32" spans="1:21" ht="24">
      <c r="A32" s="187" t="s">
        <v>2299</v>
      </c>
      <c r="B32" s="165" t="s">
        <v>438</v>
      </c>
      <c r="C32" s="373" t="s">
        <v>167</v>
      </c>
      <c r="D32" s="180" t="s">
        <v>2300</v>
      </c>
      <c r="E32" s="238">
        <v>45443</v>
      </c>
      <c r="F32" s="108">
        <v>24.93</v>
      </c>
      <c r="G32" s="180" t="s">
        <v>2290</v>
      </c>
      <c r="H32" s="238">
        <v>45446</v>
      </c>
      <c r="I32" s="108">
        <v>26.3</v>
      </c>
      <c r="J32" s="180" t="s">
        <v>2291</v>
      </c>
      <c r="K32" s="238">
        <v>45446</v>
      </c>
      <c r="L32" s="108">
        <v>24.321708000000001</v>
      </c>
      <c r="M32" s="107">
        <f t="shared" si="0"/>
        <v>24.93</v>
      </c>
      <c r="N32" s="130"/>
      <c r="R32"/>
      <c r="S32"/>
      <c r="T32"/>
      <c r="U32"/>
    </row>
    <row r="33" spans="1:21" ht="24">
      <c r="A33" s="187" t="s">
        <v>1963</v>
      </c>
      <c r="B33" s="165" t="s">
        <v>444</v>
      </c>
      <c r="C33" s="373" t="s">
        <v>167</v>
      </c>
      <c r="D33" s="180" t="s">
        <v>2300</v>
      </c>
      <c r="E33" s="238">
        <v>45443</v>
      </c>
      <c r="F33" s="108">
        <v>25.03</v>
      </c>
      <c r="G33" s="180" t="s">
        <v>2290</v>
      </c>
      <c r="H33" s="238">
        <v>45446</v>
      </c>
      <c r="I33" s="108">
        <v>26.28</v>
      </c>
      <c r="J33" s="180" t="s">
        <v>2291</v>
      </c>
      <c r="K33" s="238">
        <v>45446</v>
      </c>
      <c r="L33" s="108">
        <v>24.419268000000002</v>
      </c>
      <c r="M33" s="107">
        <f t="shared" si="0"/>
        <v>25.03</v>
      </c>
      <c r="N33" s="130"/>
      <c r="R33"/>
      <c r="S33"/>
      <c r="T33"/>
      <c r="U33"/>
    </row>
    <row r="34" spans="1:21" ht="24">
      <c r="A34" s="187" t="s">
        <v>1964</v>
      </c>
      <c r="B34" s="165" t="s">
        <v>1551</v>
      </c>
      <c r="C34" s="373" t="s">
        <v>180</v>
      </c>
      <c r="D34" s="180" t="s">
        <v>2301</v>
      </c>
      <c r="E34" s="238">
        <v>45443</v>
      </c>
      <c r="F34" s="108">
        <v>3428.75</v>
      </c>
      <c r="G34" s="180" t="s">
        <v>2290</v>
      </c>
      <c r="H34" s="238">
        <v>45446</v>
      </c>
      <c r="I34" s="108">
        <v>3510</v>
      </c>
      <c r="J34" s="180" t="s">
        <v>2291</v>
      </c>
      <c r="K34" s="238">
        <v>45446</v>
      </c>
      <c r="L34" s="108">
        <v>3345.0885000000003</v>
      </c>
      <c r="M34" s="107">
        <f t="shared" si="0"/>
        <v>3428.75</v>
      </c>
      <c r="N34" s="130"/>
      <c r="R34"/>
      <c r="S34"/>
      <c r="T34"/>
      <c r="U34"/>
    </row>
    <row r="35" spans="1:21" ht="24">
      <c r="A35" s="187" t="s">
        <v>1995</v>
      </c>
      <c r="B35" s="165" t="s">
        <v>478</v>
      </c>
      <c r="C35" s="373" t="s">
        <v>167</v>
      </c>
      <c r="D35" s="180" t="s">
        <v>2302</v>
      </c>
      <c r="E35" s="238">
        <v>45443</v>
      </c>
      <c r="F35" s="108">
        <v>4790.68</v>
      </c>
      <c r="G35" s="180" t="s">
        <v>2290</v>
      </c>
      <c r="H35" s="238">
        <v>45446</v>
      </c>
      <c r="I35" s="108">
        <v>4801.25</v>
      </c>
      <c r="J35" s="180" t="s">
        <v>2291</v>
      </c>
      <c r="K35" s="238">
        <v>45446</v>
      </c>
      <c r="L35" s="108">
        <v>4673.7874080000001</v>
      </c>
      <c r="M35" s="107">
        <f t="shared" ref="M35:M61" si="1">MEDIAN(F35,I35,L35)</f>
        <v>4790.68</v>
      </c>
      <c r="N35" s="130"/>
      <c r="R35"/>
      <c r="S35"/>
      <c r="T35"/>
      <c r="U35"/>
    </row>
    <row r="36" spans="1:21" ht="24">
      <c r="A36" s="187" t="s">
        <v>1998</v>
      </c>
      <c r="B36" s="165" t="s">
        <v>481</v>
      </c>
      <c r="C36" s="373" t="s">
        <v>167</v>
      </c>
      <c r="D36" s="180" t="s">
        <v>2302</v>
      </c>
      <c r="E36" s="238">
        <v>45443</v>
      </c>
      <c r="F36" s="108">
        <v>4088.26</v>
      </c>
      <c r="G36" s="180" t="s">
        <v>2290</v>
      </c>
      <c r="H36" s="238">
        <v>45446</v>
      </c>
      <c r="I36" s="108">
        <v>4120</v>
      </c>
      <c r="J36" s="180" t="s">
        <v>2291</v>
      </c>
      <c r="K36" s="238">
        <v>45446</v>
      </c>
      <c r="L36" s="108">
        <v>3988.5064560000005</v>
      </c>
      <c r="M36" s="107">
        <f t="shared" si="1"/>
        <v>4088.26</v>
      </c>
      <c r="N36" s="130"/>
      <c r="R36"/>
      <c r="S36"/>
      <c r="T36"/>
      <c r="U36"/>
    </row>
    <row r="37" spans="1:21" ht="24">
      <c r="A37" s="187" t="s">
        <v>2000</v>
      </c>
      <c r="B37" s="165" t="s">
        <v>484</v>
      </c>
      <c r="C37" s="373" t="s">
        <v>167</v>
      </c>
      <c r="D37" s="180" t="s">
        <v>2303</v>
      </c>
      <c r="E37" s="238">
        <v>45443</v>
      </c>
      <c r="F37" s="108">
        <v>721.91</v>
      </c>
      <c r="G37" s="180" t="s">
        <v>2290</v>
      </c>
      <c r="H37" s="238">
        <v>45446</v>
      </c>
      <c r="I37" s="108">
        <v>718</v>
      </c>
      <c r="J37" s="180" t="s">
        <v>2291</v>
      </c>
      <c r="K37" s="238">
        <v>45446</v>
      </c>
      <c r="L37" s="108">
        <v>727.32432500000004</v>
      </c>
      <c r="M37" s="107">
        <f t="shared" si="1"/>
        <v>721.91</v>
      </c>
      <c r="N37" s="130"/>
      <c r="R37"/>
      <c r="S37"/>
      <c r="T37"/>
      <c r="U37"/>
    </row>
    <row r="38" spans="1:21" ht="24">
      <c r="A38" s="187" t="s">
        <v>2004</v>
      </c>
      <c r="B38" s="165" t="s">
        <v>487</v>
      </c>
      <c r="C38" s="373" t="s">
        <v>167</v>
      </c>
      <c r="D38" s="180" t="s">
        <v>2304</v>
      </c>
      <c r="E38" s="238">
        <v>45443</v>
      </c>
      <c r="F38" s="108">
        <v>7214.03</v>
      </c>
      <c r="G38" s="180" t="s">
        <v>2290</v>
      </c>
      <c r="H38" s="238">
        <v>45446</v>
      </c>
      <c r="I38" s="108">
        <v>7180</v>
      </c>
      <c r="J38" s="180" t="s">
        <v>2291</v>
      </c>
      <c r="K38" s="238">
        <v>45446</v>
      </c>
      <c r="L38" s="108">
        <v>7268.135225</v>
      </c>
      <c r="M38" s="107">
        <f t="shared" si="1"/>
        <v>7214.03</v>
      </c>
      <c r="N38" s="130"/>
      <c r="R38"/>
      <c r="S38"/>
      <c r="T38"/>
      <c r="U38"/>
    </row>
    <row r="39" spans="1:21" ht="24">
      <c r="A39" s="187" t="s">
        <v>2009</v>
      </c>
      <c r="B39" s="165" t="s">
        <v>490</v>
      </c>
      <c r="C39" s="373" t="s">
        <v>167</v>
      </c>
      <c r="D39" s="180" t="s">
        <v>2305</v>
      </c>
      <c r="E39" s="238">
        <v>45443</v>
      </c>
      <c r="F39" s="108">
        <v>4999</v>
      </c>
      <c r="G39" s="180" t="s">
        <v>2290</v>
      </c>
      <c r="H39" s="238">
        <v>45446</v>
      </c>
      <c r="I39" s="108">
        <v>4890</v>
      </c>
      <c r="J39" s="180" t="s">
        <v>2291</v>
      </c>
      <c r="K39" s="238">
        <v>45446</v>
      </c>
      <c r="L39" s="108">
        <v>5036.4925000000003</v>
      </c>
      <c r="M39" s="107">
        <f t="shared" si="1"/>
        <v>4999</v>
      </c>
      <c r="N39" s="130"/>
      <c r="R39"/>
      <c r="S39"/>
      <c r="T39"/>
      <c r="U39"/>
    </row>
    <row r="40" spans="1:21" ht="24">
      <c r="A40" s="187" t="s">
        <v>2011</v>
      </c>
      <c r="B40" s="165" t="s">
        <v>493</v>
      </c>
      <c r="C40" s="373" t="s">
        <v>167</v>
      </c>
      <c r="D40" s="180" t="s">
        <v>2306</v>
      </c>
      <c r="E40" s="238">
        <v>45443</v>
      </c>
      <c r="F40" s="108">
        <v>2300</v>
      </c>
      <c r="G40" s="180" t="s">
        <v>2290</v>
      </c>
      <c r="H40" s="238">
        <v>45446</v>
      </c>
      <c r="I40" s="108">
        <v>2150</v>
      </c>
      <c r="J40" s="180" t="s">
        <v>2291</v>
      </c>
      <c r="K40" s="238">
        <v>45446</v>
      </c>
      <c r="L40" s="108">
        <v>2317.25</v>
      </c>
      <c r="M40" s="107">
        <f t="shared" si="1"/>
        <v>2300</v>
      </c>
      <c r="N40" s="130"/>
      <c r="R40"/>
      <c r="S40"/>
      <c r="T40"/>
      <c r="U40"/>
    </row>
    <row r="41" spans="1:21" ht="24">
      <c r="A41" s="187" t="s">
        <v>2016</v>
      </c>
      <c r="B41" s="165" t="s">
        <v>496</v>
      </c>
      <c r="C41" s="373" t="s">
        <v>167</v>
      </c>
      <c r="D41" s="180" t="s">
        <v>2306</v>
      </c>
      <c r="E41" s="238">
        <v>45443</v>
      </c>
      <c r="F41" s="108">
        <v>1100</v>
      </c>
      <c r="G41" s="180" t="s">
        <v>2290</v>
      </c>
      <c r="H41" s="238">
        <v>45446</v>
      </c>
      <c r="I41" s="108">
        <v>1120</v>
      </c>
      <c r="J41" s="180" t="s">
        <v>2291</v>
      </c>
      <c r="K41" s="238">
        <v>45446</v>
      </c>
      <c r="L41" s="108">
        <v>1108.25</v>
      </c>
      <c r="M41" s="107">
        <f t="shared" si="1"/>
        <v>1108.25</v>
      </c>
      <c r="N41" s="130"/>
      <c r="R41"/>
      <c r="S41"/>
      <c r="T41"/>
      <c r="U41"/>
    </row>
    <row r="42" spans="1:21" ht="24">
      <c r="A42" s="187" t="s">
        <v>2017</v>
      </c>
      <c r="B42" s="165" t="s">
        <v>499</v>
      </c>
      <c r="C42" s="373" t="s">
        <v>167</v>
      </c>
      <c r="D42" s="180" t="s">
        <v>2305</v>
      </c>
      <c r="E42" s="238">
        <v>45443</v>
      </c>
      <c r="F42" s="108">
        <v>1599</v>
      </c>
      <c r="G42" s="180" t="s">
        <v>2290</v>
      </c>
      <c r="H42" s="238">
        <v>45446</v>
      </c>
      <c r="I42" s="108">
        <v>1620</v>
      </c>
      <c r="J42" s="180" t="s">
        <v>2291</v>
      </c>
      <c r="K42" s="238">
        <v>45446</v>
      </c>
      <c r="L42" s="108">
        <v>1610.9925000000001</v>
      </c>
      <c r="M42" s="107">
        <f t="shared" si="1"/>
        <v>1610.9925000000001</v>
      </c>
      <c r="N42" s="130"/>
      <c r="R42"/>
      <c r="S42"/>
      <c r="T42"/>
      <c r="U42"/>
    </row>
    <row r="43" spans="1:21" ht="24">
      <c r="A43" s="187" t="s">
        <v>2019</v>
      </c>
      <c r="B43" s="165" t="s">
        <v>502</v>
      </c>
      <c r="C43" s="373" t="s">
        <v>167</v>
      </c>
      <c r="D43" s="180" t="s">
        <v>2300</v>
      </c>
      <c r="E43" s="238">
        <v>45443</v>
      </c>
      <c r="F43" s="108">
        <v>599.65</v>
      </c>
      <c r="G43" s="180" t="s">
        <v>2290</v>
      </c>
      <c r="H43" s="238">
        <v>45446</v>
      </c>
      <c r="I43" s="108">
        <v>620</v>
      </c>
      <c r="J43" s="180" t="s">
        <v>2291</v>
      </c>
      <c r="K43" s="238">
        <v>45446</v>
      </c>
      <c r="L43" s="108">
        <v>604.14737500000001</v>
      </c>
      <c r="M43" s="107">
        <f t="shared" si="1"/>
        <v>604.14737500000001</v>
      </c>
      <c r="N43" s="130"/>
      <c r="R43"/>
      <c r="S43"/>
      <c r="T43"/>
      <c r="U43"/>
    </row>
    <row r="44" spans="1:21" ht="24">
      <c r="A44" s="187" t="s">
        <v>2020</v>
      </c>
      <c r="B44" s="165" t="s">
        <v>505</v>
      </c>
      <c r="C44" s="373" t="s">
        <v>167</v>
      </c>
      <c r="D44" s="180" t="s">
        <v>2303</v>
      </c>
      <c r="E44" s="238">
        <v>45443</v>
      </c>
      <c r="F44" s="108">
        <v>500.97</v>
      </c>
      <c r="G44" s="180" t="s">
        <v>2290</v>
      </c>
      <c r="H44" s="238">
        <v>45446</v>
      </c>
      <c r="I44" s="108">
        <v>495.2</v>
      </c>
      <c r="J44" s="180" t="s">
        <v>2291</v>
      </c>
      <c r="K44" s="238">
        <v>45446</v>
      </c>
      <c r="L44" s="108">
        <v>494.45739000000003</v>
      </c>
      <c r="M44" s="107">
        <f t="shared" si="1"/>
        <v>495.2</v>
      </c>
      <c r="N44" s="130"/>
      <c r="R44"/>
      <c r="S44"/>
      <c r="T44"/>
      <c r="U44"/>
    </row>
    <row r="45" spans="1:21" ht="24">
      <c r="A45" s="187" t="s">
        <v>2021</v>
      </c>
      <c r="B45" s="165" t="s">
        <v>508</v>
      </c>
      <c r="C45" s="373" t="s">
        <v>167</v>
      </c>
      <c r="D45" s="180" t="s">
        <v>2307</v>
      </c>
      <c r="E45" s="238">
        <v>45443</v>
      </c>
      <c r="F45" s="108">
        <v>153.9</v>
      </c>
      <c r="G45" s="180" t="s">
        <v>2290</v>
      </c>
      <c r="H45" s="238">
        <v>45446</v>
      </c>
      <c r="I45" s="108">
        <v>148.38</v>
      </c>
      <c r="J45" s="180" t="s">
        <v>2291</v>
      </c>
      <c r="K45" s="238">
        <v>45446</v>
      </c>
      <c r="L45" s="108">
        <v>151.89930000000001</v>
      </c>
      <c r="M45" s="107">
        <f t="shared" si="1"/>
        <v>151.89930000000001</v>
      </c>
      <c r="N45" s="130"/>
      <c r="R45"/>
      <c r="S45"/>
      <c r="T45"/>
      <c r="U45"/>
    </row>
    <row r="46" spans="1:21" ht="24">
      <c r="A46" s="187" t="s">
        <v>2022</v>
      </c>
      <c r="B46" s="165" t="s">
        <v>511</v>
      </c>
      <c r="C46" s="373" t="s">
        <v>167</v>
      </c>
      <c r="D46" s="180" t="s">
        <v>2308</v>
      </c>
      <c r="E46" s="238">
        <v>45443</v>
      </c>
      <c r="F46" s="108">
        <v>2650.2</v>
      </c>
      <c r="G46" s="180" t="s">
        <v>2290</v>
      </c>
      <c r="H46" s="238">
        <v>45446</v>
      </c>
      <c r="I46" s="108">
        <v>2580.48</v>
      </c>
      <c r="J46" s="180" t="s">
        <v>2291</v>
      </c>
      <c r="K46" s="238">
        <v>45446</v>
      </c>
      <c r="L46" s="108">
        <v>2615.7473999999997</v>
      </c>
      <c r="M46" s="107">
        <f t="shared" si="1"/>
        <v>2615.7473999999997</v>
      </c>
      <c r="N46" s="130"/>
      <c r="R46"/>
      <c r="S46"/>
      <c r="T46"/>
      <c r="U46"/>
    </row>
    <row r="47" spans="1:21" ht="24">
      <c r="A47" s="187" t="s">
        <v>2023</v>
      </c>
      <c r="B47" s="165" t="s">
        <v>514</v>
      </c>
      <c r="C47" s="373" t="s">
        <v>167</v>
      </c>
      <c r="D47" s="180" t="s">
        <v>2308</v>
      </c>
      <c r="E47" s="238">
        <v>45443</v>
      </c>
      <c r="F47" s="108">
        <v>2235.4</v>
      </c>
      <c r="G47" s="180" t="s">
        <v>2290</v>
      </c>
      <c r="H47" s="238">
        <v>45446</v>
      </c>
      <c r="I47" s="108">
        <v>2240.15</v>
      </c>
      <c r="J47" s="180" t="s">
        <v>2291</v>
      </c>
      <c r="K47" s="238">
        <v>45446</v>
      </c>
      <c r="L47" s="108">
        <v>2206.3398000000002</v>
      </c>
      <c r="M47" s="107">
        <f t="shared" si="1"/>
        <v>2235.4</v>
      </c>
      <c r="N47" s="130"/>
      <c r="R47"/>
      <c r="S47"/>
      <c r="T47"/>
      <c r="U47"/>
    </row>
    <row r="48" spans="1:21" ht="36">
      <c r="A48" s="187" t="s">
        <v>2248</v>
      </c>
      <c r="B48" s="165" t="s">
        <v>964</v>
      </c>
      <c r="C48" s="373" t="s">
        <v>167</v>
      </c>
      <c r="D48" s="180" t="s">
        <v>2286</v>
      </c>
      <c r="E48" s="238">
        <v>45423</v>
      </c>
      <c r="F48" s="108">
        <v>44552</v>
      </c>
      <c r="G48" s="180" t="s">
        <v>2287</v>
      </c>
      <c r="H48" s="238">
        <v>45446</v>
      </c>
      <c r="I48" s="108">
        <v>46680</v>
      </c>
      <c r="J48" s="180" t="s">
        <v>2288</v>
      </c>
      <c r="K48" s="238">
        <v>45446</v>
      </c>
      <c r="L48" s="108">
        <v>45500</v>
      </c>
      <c r="M48" s="107">
        <f t="shared" si="1"/>
        <v>45500</v>
      </c>
      <c r="N48" s="130"/>
      <c r="R48"/>
      <c r="S48"/>
      <c r="T48"/>
      <c r="U48"/>
    </row>
    <row r="49" spans="1:21" ht="36">
      <c r="A49" s="187" t="s">
        <v>2250</v>
      </c>
      <c r="B49" s="165" t="s">
        <v>967</v>
      </c>
      <c r="C49" s="373" t="s">
        <v>167</v>
      </c>
      <c r="D49" s="180" t="s">
        <v>2286</v>
      </c>
      <c r="E49" s="238">
        <v>45423</v>
      </c>
      <c r="F49" s="108">
        <v>16950</v>
      </c>
      <c r="G49" s="180" t="s">
        <v>2287</v>
      </c>
      <c r="H49" s="238">
        <v>45446</v>
      </c>
      <c r="I49" s="108">
        <v>18800</v>
      </c>
      <c r="J49" s="180" t="s">
        <v>2288</v>
      </c>
      <c r="K49" s="238">
        <v>45446</v>
      </c>
      <c r="L49" s="108">
        <v>17850</v>
      </c>
      <c r="M49" s="107">
        <f t="shared" si="1"/>
        <v>17850</v>
      </c>
      <c r="N49" s="130"/>
      <c r="R49"/>
      <c r="S49"/>
      <c r="T49"/>
      <c r="U49"/>
    </row>
    <row r="50" spans="1:21" ht="36">
      <c r="A50" s="187" t="s">
        <v>2251</v>
      </c>
      <c r="B50" s="165" t="s">
        <v>970</v>
      </c>
      <c r="C50" s="373" t="s">
        <v>167</v>
      </c>
      <c r="D50" s="180" t="s">
        <v>2286</v>
      </c>
      <c r="E50" s="238">
        <v>45423</v>
      </c>
      <c r="F50" s="108">
        <v>4930</v>
      </c>
      <c r="G50" s="180" t="s">
        <v>2287</v>
      </c>
      <c r="H50" s="238">
        <v>45446</v>
      </c>
      <c r="I50" s="108">
        <v>5500</v>
      </c>
      <c r="J50" s="180" t="s">
        <v>2288</v>
      </c>
      <c r="K50" s="238">
        <v>45446</v>
      </c>
      <c r="L50" s="108">
        <v>5200</v>
      </c>
      <c r="M50" s="107">
        <f t="shared" si="1"/>
        <v>5200</v>
      </c>
      <c r="N50" s="130"/>
      <c r="R50"/>
      <c r="S50"/>
      <c r="T50"/>
      <c r="U50"/>
    </row>
    <row r="51" spans="1:21" ht="36">
      <c r="A51" s="187" t="s">
        <v>2252</v>
      </c>
      <c r="B51" s="165" t="s">
        <v>973</v>
      </c>
      <c r="C51" s="373" t="s">
        <v>167</v>
      </c>
      <c r="D51" s="180" t="s">
        <v>2286</v>
      </c>
      <c r="E51" s="238">
        <v>45423</v>
      </c>
      <c r="F51" s="108">
        <v>9984</v>
      </c>
      <c r="G51" s="180" t="s">
        <v>2287</v>
      </c>
      <c r="H51" s="238">
        <v>45446</v>
      </c>
      <c r="I51" s="108">
        <v>12100</v>
      </c>
      <c r="J51" s="180" t="s">
        <v>2288</v>
      </c>
      <c r="K51" s="238">
        <v>45446</v>
      </c>
      <c r="L51" s="108">
        <v>11550</v>
      </c>
      <c r="M51" s="107">
        <f t="shared" si="1"/>
        <v>11550</v>
      </c>
      <c r="N51" s="130"/>
      <c r="R51"/>
      <c r="S51"/>
      <c r="T51"/>
      <c r="U51"/>
    </row>
    <row r="52" spans="1:21" ht="36">
      <c r="A52" s="187" t="s">
        <v>2253</v>
      </c>
      <c r="B52" s="165" t="s">
        <v>976</v>
      </c>
      <c r="C52" s="373" t="s">
        <v>167</v>
      </c>
      <c r="D52" s="180" t="s">
        <v>2286</v>
      </c>
      <c r="E52" s="238">
        <v>45423</v>
      </c>
      <c r="F52" s="108">
        <v>9984</v>
      </c>
      <c r="G52" s="180" t="s">
        <v>2287</v>
      </c>
      <c r="H52" s="238">
        <v>45446</v>
      </c>
      <c r="I52" s="108">
        <v>12100</v>
      </c>
      <c r="J52" s="180" t="s">
        <v>2288</v>
      </c>
      <c r="K52" s="238">
        <v>45446</v>
      </c>
      <c r="L52" s="108">
        <v>11550</v>
      </c>
      <c r="M52" s="107">
        <f t="shared" si="1"/>
        <v>11550</v>
      </c>
      <c r="N52" s="130"/>
      <c r="R52"/>
      <c r="S52"/>
      <c r="T52"/>
      <c r="U52"/>
    </row>
    <row r="53" spans="1:21" ht="36">
      <c r="A53" s="187" t="s">
        <v>2254</v>
      </c>
      <c r="B53" s="165" t="s">
        <v>979</v>
      </c>
      <c r="C53" s="373" t="s">
        <v>167</v>
      </c>
      <c r="D53" s="180" t="s">
        <v>2286</v>
      </c>
      <c r="E53" s="238">
        <v>45423</v>
      </c>
      <c r="F53" s="108">
        <v>2850</v>
      </c>
      <c r="G53" s="180" t="s">
        <v>2287</v>
      </c>
      <c r="H53" s="238">
        <v>45446</v>
      </c>
      <c r="I53" s="108">
        <v>3450</v>
      </c>
      <c r="J53" s="180" t="s">
        <v>2288</v>
      </c>
      <c r="K53" s="238">
        <v>45446</v>
      </c>
      <c r="L53" s="108">
        <v>3300</v>
      </c>
      <c r="M53" s="107">
        <f t="shared" si="1"/>
        <v>3300</v>
      </c>
      <c r="N53" s="130"/>
      <c r="R53"/>
      <c r="S53"/>
      <c r="T53"/>
      <c r="U53"/>
    </row>
    <row r="54" spans="1:21" ht="36">
      <c r="A54" s="187" t="s">
        <v>2255</v>
      </c>
      <c r="B54" s="165" t="s">
        <v>982</v>
      </c>
      <c r="C54" s="373" t="s">
        <v>167</v>
      </c>
      <c r="D54" s="180" t="s">
        <v>2286</v>
      </c>
      <c r="E54" s="238">
        <v>45423</v>
      </c>
      <c r="F54" s="108">
        <v>3100</v>
      </c>
      <c r="G54" s="180" t="s">
        <v>2287</v>
      </c>
      <c r="H54" s="238">
        <v>45446</v>
      </c>
      <c r="I54" s="108">
        <v>3800</v>
      </c>
      <c r="J54" s="180" t="s">
        <v>2288</v>
      </c>
      <c r="K54" s="238">
        <v>45446</v>
      </c>
      <c r="L54" s="108">
        <v>3500</v>
      </c>
      <c r="M54" s="107">
        <f t="shared" si="1"/>
        <v>3500</v>
      </c>
      <c r="N54" s="130"/>
      <c r="R54"/>
      <c r="S54"/>
      <c r="T54"/>
      <c r="U54"/>
    </row>
    <row r="55" spans="1:21" ht="36">
      <c r="A55" s="187" t="s">
        <v>2256</v>
      </c>
      <c r="B55" s="165" t="s">
        <v>985</v>
      </c>
      <c r="C55" s="373" t="s">
        <v>167</v>
      </c>
      <c r="D55" s="180" t="s">
        <v>2286</v>
      </c>
      <c r="E55" s="238">
        <v>45423</v>
      </c>
      <c r="F55" s="108">
        <v>3100</v>
      </c>
      <c r="G55" s="180" t="s">
        <v>2287</v>
      </c>
      <c r="H55" s="238">
        <v>45446</v>
      </c>
      <c r="I55" s="108">
        <v>3800</v>
      </c>
      <c r="J55" s="180" t="s">
        <v>2288</v>
      </c>
      <c r="K55" s="238">
        <v>45446</v>
      </c>
      <c r="L55" s="108">
        <v>3500</v>
      </c>
      <c r="M55" s="107">
        <f t="shared" si="1"/>
        <v>3500</v>
      </c>
      <c r="N55" s="130"/>
      <c r="R55"/>
      <c r="S55"/>
      <c r="T55"/>
      <c r="U55"/>
    </row>
    <row r="56" spans="1:21" ht="36">
      <c r="A56" s="187" t="s">
        <v>2257</v>
      </c>
      <c r="B56" s="165" t="s">
        <v>1203</v>
      </c>
      <c r="C56" s="373" t="s">
        <v>167</v>
      </c>
      <c r="D56" s="180" t="s">
        <v>2286</v>
      </c>
      <c r="E56" s="238">
        <v>45443</v>
      </c>
      <c r="F56" s="108">
        <v>12165</v>
      </c>
      <c r="G56" s="180" t="s">
        <v>2287</v>
      </c>
      <c r="H56" s="238">
        <v>45446</v>
      </c>
      <c r="I56" s="108">
        <v>14100</v>
      </c>
      <c r="J56" s="180" t="s">
        <v>2288</v>
      </c>
      <c r="K56" s="238">
        <v>45446</v>
      </c>
      <c r="L56" s="108">
        <v>13500</v>
      </c>
      <c r="M56" s="107">
        <f t="shared" si="1"/>
        <v>13500</v>
      </c>
      <c r="N56" s="130"/>
      <c r="R56"/>
      <c r="S56"/>
      <c r="T56"/>
      <c r="U56"/>
    </row>
    <row r="57" spans="1:21" ht="36">
      <c r="A57" s="187" t="s">
        <v>2258</v>
      </c>
      <c r="B57" s="165" t="s">
        <v>1206</v>
      </c>
      <c r="C57" s="373" t="s">
        <v>167</v>
      </c>
      <c r="D57" s="180" t="s">
        <v>2286</v>
      </c>
      <c r="E57" s="238">
        <v>45443</v>
      </c>
      <c r="F57" s="108">
        <v>12664</v>
      </c>
      <c r="G57" s="180" t="s">
        <v>2287</v>
      </c>
      <c r="H57" s="238">
        <v>45446</v>
      </c>
      <c r="I57" s="108">
        <v>15350</v>
      </c>
      <c r="J57" s="180" t="s">
        <v>2288</v>
      </c>
      <c r="K57" s="238">
        <v>45446</v>
      </c>
      <c r="L57" s="108">
        <v>14000</v>
      </c>
      <c r="M57" s="107">
        <f t="shared" si="1"/>
        <v>14000</v>
      </c>
      <c r="N57" s="130"/>
      <c r="R57"/>
      <c r="S57"/>
      <c r="T57"/>
      <c r="U57"/>
    </row>
    <row r="58" spans="1:21" ht="36">
      <c r="A58" s="187" t="s">
        <v>2259</v>
      </c>
      <c r="B58" s="165" t="s">
        <v>1209</v>
      </c>
      <c r="C58" s="373" t="s">
        <v>167</v>
      </c>
      <c r="D58" s="180" t="s">
        <v>2286</v>
      </c>
      <c r="E58" s="238">
        <v>45443</v>
      </c>
      <c r="F58" s="108">
        <v>12664</v>
      </c>
      <c r="G58" s="180" t="s">
        <v>2287</v>
      </c>
      <c r="H58" s="238">
        <v>45446</v>
      </c>
      <c r="I58" s="108">
        <v>15350</v>
      </c>
      <c r="J58" s="180" t="s">
        <v>2288</v>
      </c>
      <c r="K58" s="238">
        <v>45446</v>
      </c>
      <c r="L58" s="108">
        <v>14000</v>
      </c>
      <c r="M58" s="107">
        <f t="shared" si="1"/>
        <v>14000</v>
      </c>
      <c r="N58" s="130"/>
      <c r="R58"/>
      <c r="S58"/>
      <c r="T58"/>
      <c r="U58"/>
    </row>
    <row r="59" spans="1:21" ht="36">
      <c r="A59" s="187" t="s">
        <v>2260</v>
      </c>
      <c r="B59" s="165" t="s">
        <v>1212</v>
      </c>
      <c r="C59" s="373" t="s">
        <v>167</v>
      </c>
      <c r="D59" s="180" t="s">
        <v>2286</v>
      </c>
      <c r="E59" s="238">
        <v>45423</v>
      </c>
      <c r="F59" s="108">
        <v>18748</v>
      </c>
      <c r="G59" s="180" t="s">
        <v>2287</v>
      </c>
      <c r="H59" s="238">
        <v>45446</v>
      </c>
      <c r="I59" s="108">
        <v>19900</v>
      </c>
      <c r="J59" s="180" t="s">
        <v>2288</v>
      </c>
      <c r="K59" s="238">
        <v>45446</v>
      </c>
      <c r="L59" s="108">
        <v>18900</v>
      </c>
      <c r="M59" s="107">
        <f t="shared" si="1"/>
        <v>18900</v>
      </c>
      <c r="N59" s="130"/>
      <c r="R59"/>
      <c r="S59"/>
      <c r="T59"/>
      <c r="U59"/>
    </row>
    <row r="60" spans="1:21" ht="36">
      <c r="A60" s="187" t="s">
        <v>2261</v>
      </c>
      <c r="B60" s="165" t="s">
        <v>1215</v>
      </c>
      <c r="C60" s="373" t="s">
        <v>167</v>
      </c>
      <c r="D60" s="180" t="s">
        <v>2286</v>
      </c>
      <c r="E60" s="238">
        <v>45423</v>
      </c>
      <c r="F60" s="108">
        <v>20468</v>
      </c>
      <c r="G60" s="180" t="s">
        <v>2287</v>
      </c>
      <c r="H60" s="238">
        <v>45446</v>
      </c>
      <c r="I60" s="108">
        <v>21150</v>
      </c>
      <c r="J60" s="180" t="s">
        <v>2288</v>
      </c>
      <c r="K60" s="238">
        <v>45446</v>
      </c>
      <c r="L60" s="108">
        <v>20850</v>
      </c>
      <c r="M60" s="107">
        <f t="shared" si="1"/>
        <v>20850</v>
      </c>
      <c r="N60" s="130"/>
      <c r="R60"/>
      <c r="S60"/>
      <c r="T60"/>
      <c r="U60"/>
    </row>
    <row r="61" spans="1:21" ht="36">
      <c r="A61" s="187" t="s">
        <v>2262</v>
      </c>
      <c r="B61" s="165" t="s">
        <v>1218</v>
      </c>
      <c r="C61" s="373" t="s">
        <v>167</v>
      </c>
      <c r="D61" s="180" t="s">
        <v>2286</v>
      </c>
      <c r="E61" s="238">
        <v>45423</v>
      </c>
      <c r="F61" s="108">
        <v>18748</v>
      </c>
      <c r="G61" s="180" t="s">
        <v>2287</v>
      </c>
      <c r="H61" s="238">
        <v>45446</v>
      </c>
      <c r="I61" s="108">
        <v>19900</v>
      </c>
      <c r="J61" s="180" t="s">
        <v>2288</v>
      </c>
      <c r="K61" s="238">
        <v>45446</v>
      </c>
      <c r="L61" s="108">
        <v>18900</v>
      </c>
      <c r="M61" s="107">
        <f t="shared" si="1"/>
        <v>18900</v>
      </c>
      <c r="N61" s="130"/>
      <c r="R61"/>
      <c r="S61"/>
      <c r="T61"/>
      <c r="U61"/>
    </row>
    <row r="62" spans="1:21" ht="36">
      <c r="A62" s="187" t="s">
        <v>2024</v>
      </c>
      <c r="B62" s="165" t="s">
        <v>520</v>
      </c>
      <c r="C62" s="373" t="s">
        <v>167</v>
      </c>
      <c r="D62" s="180" t="s">
        <v>2309</v>
      </c>
      <c r="E62" s="238">
        <v>45443</v>
      </c>
      <c r="F62" s="108">
        <v>2413</v>
      </c>
      <c r="G62" s="180" t="s">
        <v>2290</v>
      </c>
      <c r="H62" s="238">
        <v>45446</v>
      </c>
      <c r="I62" s="108">
        <v>2453.98</v>
      </c>
      <c r="J62" s="180" t="s">
        <v>2291</v>
      </c>
      <c r="K62" s="238">
        <v>45446</v>
      </c>
      <c r="L62" s="108">
        <v>2381.6309999999999</v>
      </c>
      <c r="M62" s="107">
        <f t="shared" ref="M62:M93" si="2">MEDIAN(F62,I62,L62)</f>
        <v>2413</v>
      </c>
      <c r="N62" s="130"/>
      <c r="R62"/>
      <c r="S62"/>
      <c r="T62"/>
      <c r="U62"/>
    </row>
    <row r="63" spans="1:21" ht="36">
      <c r="A63" s="187" t="s">
        <v>2025</v>
      </c>
      <c r="B63" s="165" t="s">
        <v>523</v>
      </c>
      <c r="C63" s="373" t="s">
        <v>167</v>
      </c>
      <c r="D63" s="180" t="s">
        <v>2309</v>
      </c>
      <c r="E63" s="238">
        <v>45443</v>
      </c>
      <c r="F63" s="108">
        <v>1870.7</v>
      </c>
      <c r="G63" s="180" t="s">
        <v>2290</v>
      </c>
      <c r="H63" s="238">
        <v>45446</v>
      </c>
      <c r="I63" s="108">
        <v>1980.02</v>
      </c>
      <c r="J63" s="180" t="s">
        <v>2291</v>
      </c>
      <c r="K63" s="238">
        <v>45446</v>
      </c>
      <c r="L63" s="108">
        <v>1846.3809000000001</v>
      </c>
      <c r="M63" s="107">
        <f t="shared" si="2"/>
        <v>1870.7</v>
      </c>
      <c r="N63" s="130"/>
      <c r="R63"/>
      <c r="S63"/>
      <c r="T63"/>
      <c r="U63"/>
    </row>
    <row r="64" spans="1:21" ht="36">
      <c r="A64" s="187" t="s">
        <v>2026</v>
      </c>
      <c r="B64" s="165" t="s">
        <v>526</v>
      </c>
      <c r="C64" s="373" t="s">
        <v>167</v>
      </c>
      <c r="D64" s="180" t="s">
        <v>2309</v>
      </c>
      <c r="E64" s="238">
        <v>45443</v>
      </c>
      <c r="F64" s="108">
        <v>892.2</v>
      </c>
      <c r="G64" s="180" t="s">
        <v>2290</v>
      </c>
      <c r="H64" s="238">
        <v>45446</v>
      </c>
      <c r="I64" s="108">
        <v>913</v>
      </c>
      <c r="J64" s="180" t="s">
        <v>2291</v>
      </c>
      <c r="K64" s="238">
        <v>45446</v>
      </c>
      <c r="L64" s="108">
        <v>880.60140000000001</v>
      </c>
      <c r="M64" s="107">
        <f t="shared" si="2"/>
        <v>892.2</v>
      </c>
      <c r="N64" s="130"/>
      <c r="R64"/>
      <c r="S64"/>
      <c r="T64"/>
      <c r="U64"/>
    </row>
    <row r="65" spans="1:21" ht="36">
      <c r="A65" s="187" t="s">
        <v>2027</v>
      </c>
      <c r="B65" s="165" t="s">
        <v>529</v>
      </c>
      <c r="C65" s="373" t="s">
        <v>167</v>
      </c>
      <c r="D65" s="180" t="s">
        <v>2310</v>
      </c>
      <c r="E65" s="238">
        <v>45443</v>
      </c>
      <c r="F65" s="108">
        <v>1271.21</v>
      </c>
      <c r="G65" s="180" t="s">
        <v>2290</v>
      </c>
      <c r="H65" s="238">
        <v>45446</v>
      </c>
      <c r="I65" s="108">
        <v>1128.5999999999999</v>
      </c>
      <c r="J65" s="180" t="s">
        <v>2291</v>
      </c>
      <c r="K65" s="238">
        <v>45446</v>
      </c>
      <c r="L65" s="108">
        <v>1254.68427</v>
      </c>
      <c r="M65" s="107">
        <f t="shared" si="2"/>
        <v>1254.68427</v>
      </c>
      <c r="N65" s="130"/>
      <c r="R65"/>
      <c r="S65"/>
      <c r="T65"/>
      <c r="U65"/>
    </row>
    <row r="66" spans="1:21" ht="36">
      <c r="A66" s="187" t="s">
        <v>2028</v>
      </c>
      <c r="B66" s="165" t="s">
        <v>532</v>
      </c>
      <c r="C66" s="373" t="s">
        <v>167</v>
      </c>
      <c r="D66" s="180" t="s">
        <v>2310</v>
      </c>
      <c r="E66" s="238">
        <v>45443</v>
      </c>
      <c r="F66" s="108">
        <v>1319.93</v>
      </c>
      <c r="G66" s="180" t="s">
        <v>2290</v>
      </c>
      <c r="H66" s="238">
        <v>45446</v>
      </c>
      <c r="I66" s="108">
        <v>1180.3</v>
      </c>
      <c r="J66" s="180" t="s">
        <v>2291</v>
      </c>
      <c r="K66" s="238">
        <v>45446</v>
      </c>
      <c r="L66" s="108">
        <v>1302.77091</v>
      </c>
      <c r="M66" s="107">
        <f t="shared" si="2"/>
        <v>1302.77091</v>
      </c>
      <c r="N66" s="130"/>
      <c r="R66"/>
      <c r="S66"/>
      <c r="T66"/>
      <c r="U66"/>
    </row>
    <row r="67" spans="1:21" ht="36">
      <c r="A67" s="187" t="s">
        <v>2029</v>
      </c>
      <c r="B67" s="165" t="s">
        <v>535</v>
      </c>
      <c r="C67" s="373" t="s">
        <v>167</v>
      </c>
      <c r="D67" s="180" t="s">
        <v>2310</v>
      </c>
      <c r="E67" s="238">
        <v>45443</v>
      </c>
      <c r="F67" s="108">
        <v>769.49</v>
      </c>
      <c r="G67" s="180" t="s">
        <v>2290</v>
      </c>
      <c r="H67" s="238">
        <v>45446</v>
      </c>
      <c r="I67" s="108">
        <v>834</v>
      </c>
      <c r="J67" s="180" t="s">
        <v>2291</v>
      </c>
      <c r="K67" s="238">
        <v>45446</v>
      </c>
      <c r="L67" s="108">
        <v>759.48662999999999</v>
      </c>
      <c r="M67" s="107">
        <f t="shared" si="2"/>
        <v>769.49</v>
      </c>
      <c r="N67" s="130"/>
      <c r="R67"/>
      <c r="S67"/>
      <c r="T67"/>
      <c r="U67"/>
    </row>
    <row r="68" spans="1:21" ht="36">
      <c r="A68" s="187" t="s">
        <v>2030</v>
      </c>
      <c r="B68" s="165" t="s">
        <v>538</v>
      </c>
      <c r="C68" s="373" t="s">
        <v>167</v>
      </c>
      <c r="D68" s="180" t="s">
        <v>2310</v>
      </c>
      <c r="E68" s="238">
        <v>45443</v>
      </c>
      <c r="F68" s="108">
        <v>662.32</v>
      </c>
      <c r="G68" s="180" t="s">
        <v>2290</v>
      </c>
      <c r="H68" s="238">
        <v>45446</v>
      </c>
      <c r="I68" s="108">
        <v>690.5</v>
      </c>
      <c r="J68" s="180" t="s">
        <v>2291</v>
      </c>
      <c r="K68" s="238">
        <v>45446</v>
      </c>
      <c r="L68" s="108">
        <v>653.70983999999999</v>
      </c>
      <c r="M68" s="107">
        <f t="shared" si="2"/>
        <v>662.32</v>
      </c>
      <c r="N68" s="130"/>
      <c r="R68"/>
      <c r="S68"/>
      <c r="T68"/>
      <c r="U68"/>
    </row>
    <row r="69" spans="1:21" ht="36">
      <c r="A69" s="187" t="s">
        <v>2031</v>
      </c>
      <c r="B69" s="165" t="s">
        <v>541</v>
      </c>
      <c r="C69" s="373" t="s">
        <v>167</v>
      </c>
      <c r="D69" s="180" t="s">
        <v>2310</v>
      </c>
      <c r="E69" s="238">
        <v>45443</v>
      </c>
      <c r="F69" s="108">
        <v>553.21</v>
      </c>
      <c r="G69" s="180" t="s">
        <v>2290</v>
      </c>
      <c r="H69" s="238">
        <v>45446</v>
      </c>
      <c r="I69" s="108">
        <v>540.79999999999995</v>
      </c>
      <c r="J69" s="180" t="s">
        <v>2291</v>
      </c>
      <c r="K69" s="238">
        <v>45446</v>
      </c>
      <c r="L69" s="108">
        <v>546.01827000000003</v>
      </c>
      <c r="M69" s="107">
        <f t="shared" si="2"/>
        <v>546.01827000000003</v>
      </c>
      <c r="N69" s="130"/>
      <c r="R69"/>
      <c r="S69"/>
      <c r="T69"/>
      <c r="U69"/>
    </row>
    <row r="70" spans="1:21" ht="36">
      <c r="A70" s="187" t="s">
        <v>2032</v>
      </c>
      <c r="B70" s="165" t="s">
        <v>544</v>
      </c>
      <c r="C70" s="373" t="s">
        <v>167</v>
      </c>
      <c r="D70" s="180" t="s">
        <v>2310</v>
      </c>
      <c r="E70" s="238">
        <v>45443</v>
      </c>
      <c r="F70" s="108">
        <v>418.76</v>
      </c>
      <c r="G70" s="180" t="s">
        <v>2290</v>
      </c>
      <c r="H70" s="238">
        <v>45446</v>
      </c>
      <c r="I70" s="108">
        <v>456.32</v>
      </c>
      <c r="J70" s="180" t="s">
        <v>2291</v>
      </c>
      <c r="K70" s="238">
        <v>45446</v>
      </c>
      <c r="L70" s="108">
        <v>413.31612000000001</v>
      </c>
      <c r="M70" s="107">
        <f t="shared" si="2"/>
        <v>418.76</v>
      </c>
      <c r="N70" s="130"/>
      <c r="R70"/>
      <c r="S70"/>
      <c r="T70"/>
      <c r="U70"/>
    </row>
    <row r="71" spans="1:21" ht="36">
      <c r="A71" s="187" t="s">
        <v>2033</v>
      </c>
      <c r="B71" s="165" t="s">
        <v>547</v>
      </c>
      <c r="C71" s="373" t="s">
        <v>167</v>
      </c>
      <c r="D71" s="180" t="s">
        <v>2310</v>
      </c>
      <c r="E71" s="238">
        <v>45443</v>
      </c>
      <c r="F71" s="108">
        <v>286.27</v>
      </c>
      <c r="G71" s="180" t="s">
        <v>2290</v>
      </c>
      <c r="H71" s="238">
        <v>45446</v>
      </c>
      <c r="I71" s="108">
        <v>310.8</v>
      </c>
      <c r="J71" s="180" t="s">
        <v>2291</v>
      </c>
      <c r="K71" s="238">
        <v>45446</v>
      </c>
      <c r="L71" s="108">
        <v>282.54848999999996</v>
      </c>
      <c r="M71" s="107">
        <f t="shared" si="2"/>
        <v>286.27</v>
      </c>
      <c r="N71" s="130"/>
      <c r="R71"/>
      <c r="S71"/>
      <c r="T71"/>
      <c r="U71"/>
    </row>
    <row r="72" spans="1:21" ht="36">
      <c r="A72" s="187" t="s">
        <v>2034</v>
      </c>
      <c r="B72" s="165" t="s">
        <v>550</v>
      </c>
      <c r="C72" s="373" t="s">
        <v>167</v>
      </c>
      <c r="D72" s="180" t="s">
        <v>2311</v>
      </c>
      <c r="E72" s="238">
        <v>45443</v>
      </c>
      <c r="F72" s="108">
        <v>772.5</v>
      </c>
      <c r="G72" s="180" t="s">
        <v>2290</v>
      </c>
      <c r="H72" s="238">
        <v>45446</v>
      </c>
      <c r="I72" s="108">
        <v>754.65</v>
      </c>
      <c r="J72" s="180" t="s">
        <v>2291</v>
      </c>
      <c r="K72" s="238">
        <v>45446</v>
      </c>
      <c r="L72" s="108">
        <v>762.45749999999998</v>
      </c>
      <c r="M72" s="107">
        <f t="shared" si="2"/>
        <v>762.45749999999998</v>
      </c>
      <c r="N72" s="130"/>
      <c r="R72"/>
      <c r="S72"/>
      <c r="T72"/>
      <c r="U72"/>
    </row>
    <row r="73" spans="1:21" ht="36">
      <c r="A73" s="187" t="s">
        <v>2035</v>
      </c>
      <c r="B73" s="165" t="s">
        <v>553</v>
      </c>
      <c r="C73" s="373" t="s">
        <v>167</v>
      </c>
      <c r="D73" s="180" t="s">
        <v>2300</v>
      </c>
      <c r="E73" s="238">
        <v>45443</v>
      </c>
      <c r="F73" s="108">
        <v>609.79</v>
      </c>
      <c r="G73" s="180" t="s">
        <v>2290</v>
      </c>
      <c r="H73" s="238">
        <v>45446</v>
      </c>
      <c r="I73" s="108">
        <v>589.65</v>
      </c>
      <c r="J73" s="180" t="s">
        <v>2291</v>
      </c>
      <c r="K73" s="238">
        <v>45446</v>
      </c>
      <c r="L73" s="108">
        <v>601.86272999999994</v>
      </c>
      <c r="M73" s="107">
        <f t="shared" si="2"/>
        <v>601.86272999999994</v>
      </c>
      <c r="N73" s="130"/>
      <c r="R73"/>
      <c r="S73"/>
      <c r="T73"/>
      <c r="U73"/>
    </row>
    <row r="74" spans="1:21" ht="36">
      <c r="A74" s="187" t="s">
        <v>2036</v>
      </c>
      <c r="B74" s="165" t="s">
        <v>556</v>
      </c>
      <c r="C74" s="373" t="s">
        <v>167</v>
      </c>
      <c r="D74" s="180" t="s">
        <v>2312</v>
      </c>
      <c r="E74" s="238">
        <v>45443</v>
      </c>
      <c r="F74" s="108">
        <v>471.66</v>
      </c>
      <c r="G74" s="180" t="s">
        <v>2290</v>
      </c>
      <c r="H74" s="238">
        <v>45446</v>
      </c>
      <c r="I74" s="108">
        <v>493.2</v>
      </c>
      <c r="J74" s="180" t="s">
        <v>2291</v>
      </c>
      <c r="K74" s="238">
        <v>45446</v>
      </c>
      <c r="L74" s="108">
        <v>465.52842000000004</v>
      </c>
      <c r="M74" s="107">
        <f t="shared" si="2"/>
        <v>471.66</v>
      </c>
      <c r="N74" s="130"/>
      <c r="R74"/>
      <c r="S74"/>
      <c r="T74"/>
      <c r="U74"/>
    </row>
    <row r="75" spans="1:21" ht="36">
      <c r="A75" s="187" t="s">
        <v>2037</v>
      </c>
      <c r="B75" s="165" t="s">
        <v>559</v>
      </c>
      <c r="C75" s="373" t="s">
        <v>167</v>
      </c>
      <c r="D75" s="180" t="s">
        <v>2300</v>
      </c>
      <c r="E75" s="238">
        <v>45443</v>
      </c>
      <c r="F75" s="108">
        <v>318.45999999999998</v>
      </c>
      <c r="G75" s="180" t="s">
        <v>2290</v>
      </c>
      <c r="H75" s="238">
        <v>45446</v>
      </c>
      <c r="I75" s="108">
        <v>324.18</v>
      </c>
      <c r="J75" s="180" t="s">
        <v>2291</v>
      </c>
      <c r="K75" s="238">
        <v>45446</v>
      </c>
      <c r="L75" s="108">
        <v>314.32002</v>
      </c>
      <c r="M75" s="107">
        <f t="shared" si="2"/>
        <v>318.45999999999998</v>
      </c>
      <c r="N75" s="130"/>
      <c r="R75"/>
      <c r="S75"/>
      <c r="T75"/>
      <c r="U75"/>
    </row>
    <row r="76" spans="1:21" ht="24">
      <c r="A76" s="187" t="s">
        <v>2038</v>
      </c>
      <c r="B76" s="165" t="s">
        <v>562</v>
      </c>
      <c r="C76" s="373" t="s">
        <v>167</v>
      </c>
      <c r="D76" s="180" t="s">
        <v>2313</v>
      </c>
      <c r="E76" s="238">
        <v>45443</v>
      </c>
      <c r="F76" s="108">
        <v>53.56</v>
      </c>
      <c r="G76" s="180" t="s">
        <v>2290</v>
      </c>
      <c r="H76" s="238">
        <v>45446</v>
      </c>
      <c r="I76" s="108">
        <v>48.32</v>
      </c>
      <c r="J76" s="180" t="s">
        <v>2291</v>
      </c>
      <c r="K76" s="238">
        <v>45446</v>
      </c>
      <c r="L76" s="108">
        <v>52.863720000000001</v>
      </c>
      <c r="M76" s="107">
        <f t="shared" si="2"/>
        <v>52.863720000000001</v>
      </c>
      <c r="N76" s="130"/>
      <c r="R76"/>
      <c r="S76"/>
      <c r="T76"/>
      <c r="U76"/>
    </row>
    <row r="77" spans="1:21" ht="24">
      <c r="A77" s="187" t="s">
        <v>2039</v>
      </c>
      <c r="B77" s="165" t="s">
        <v>565</v>
      </c>
      <c r="C77" s="373" t="s">
        <v>167</v>
      </c>
      <c r="D77" s="180" t="s">
        <v>2314</v>
      </c>
      <c r="E77" s="238">
        <v>45443</v>
      </c>
      <c r="F77" s="108">
        <v>106.2</v>
      </c>
      <c r="G77" s="180" t="s">
        <v>2290</v>
      </c>
      <c r="H77" s="238">
        <v>45446</v>
      </c>
      <c r="I77" s="108">
        <v>104.3</v>
      </c>
      <c r="J77" s="180" t="s">
        <v>2291</v>
      </c>
      <c r="K77" s="238">
        <v>45446</v>
      </c>
      <c r="L77" s="108">
        <v>104.8194</v>
      </c>
      <c r="M77" s="107">
        <f t="shared" si="2"/>
        <v>104.8194</v>
      </c>
      <c r="N77" s="130"/>
      <c r="R77"/>
      <c r="S77"/>
      <c r="T77"/>
      <c r="U77"/>
    </row>
    <row r="78" spans="1:21" ht="24">
      <c r="A78" s="187" t="s">
        <v>2040</v>
      </c>
      <c r="B78" s="165" t="s">
        <v>568</v>
      </c>
      <c r="C78" s="373" t="s">
        <v>167</v>
      </c>
      <c r="D78" s="180" t="s">
        <v>2303</v>
      </c>
      <c r="E78" s="238">
        <v>45443</v>
      </c>
      <c r="F78" s="108">
        <v>49.32</v>
      </c>
      <c r="G78" s="180" t="s">
        <v>2290</v>
      </c>
      <c r="H78" s="238">
        <v>45446</v>
      </c>
      <c r="I78" s="108">
        <v>48.14</v>
      </c>
      <c r="J78" s="180" t="s">
        <v>2291</v>
      </c>
      <c r="K78" s="238">
        <v>45446</v>
      </c>
      <c r="L78" s="108">
        <v>48.678840000000001</v>
      </c>
      <c r="M78" s="107">
        <f t="shared" si="2"/>
        <v>48.678840000000001</v>
      </c>
      <c r="N78" s="130"/>
      <c r="R78"/>
      <c r="S78"/>
      <c r="T78"/>
      <c r="U78"/>
    </row>
    <row r="79" spans="1:21" ht="24">
      <c r="A79" s="187" t="s">
        <v>2041</v>
      </c>
      <c r="B79" s="165" t="s">
        <v>571</v>
      </c>
      <c r="C79" s="373" t="s">
        <v>167</v>
      </c>
      <c r="D79" s="180" t="s">
        <v>2303</v>
      </c>
      <c r="E79" s="238">
        <v>45443</v>
      </c>
      <c r="F79" s="108">
        <v>38.200000000000003</v>
      </c>
      <c r="G79" s="180" t="s">
        <v>2290</v>
      </c>
      <c r="H79" s="238">
        <v>45446</v>
      </c>
      <c r="I79" s="108">
        <v>31.1</v>
      </c>
      <c r="J79" s="180" t="s">
        <v>2291</v>
      </c>
      <c r="K79" s="238">
        <v>45446</v>
      </c>
      <c r="L79" s="108">
        <v>37.703400000000002</v>
      </c>
      <c r="M79" s="107">
        <f t="shared" si="2"/>
        <v>37.703400000000002</v>
      </c>
      <c r="N79" s="130"/>
      <c r="R79"/>
      <c r="S79"/>
      <c r="T79"/>
      <c r="U79"/>
    </row>
    <row r="80" spans="1:21" ht="24">
      <c r="A80" s="187" t="s">
        <v>2042</v>
      </c>
      <c r="B80" s="165" t="s">
        <v>574</v>
      </c>
      <c r="C80" s="373" t="s">
        <v>167</v>
      </c>
      <c r="D80" s="180" t="s">
        <v>2303</v>
      </c>
      <c r="E80" s="238">
        <v>45443</v>
      </c>
      <c r="F80" s="108">
        <v>33.25</v>
      </c>
      <c r="G80" s="180" t="s">
        <v>2290</v>
      </c>
      <c r="H80" s="238">
        <v>45446</v>
      </c>
      <c r="I80" s="108">
        <v>28.18</v>
      </c>
      <c r="J80" s="180" t="s">
        <v>2291</v>
      </c>
      <c r="K80" s="238">
        <v>45446</v>
      </c>
      <c r="L80" s="108">
        <v>32.817749999999997</v>
      </c>
      <c r="M80" s="107">
        <f t="shared" si="2"/>
        <v>32.817749999999997</v>
      </c>
      <c r="N80" s="130"/>
      <c r="R80"/>
      <c r="S80"/>
      <c r="T80"/>
      <c r="U80"/>
    </row>
    <row r="81" spans="1:21" ht="24">
      <c r="A81" s="187" t="s">
        <v>2043</v>
      </c>
      <c r="B81" s="165" t="s">
        <v>577</v>
      </c>
      <c r="C81" s="373" t="s">
        <v>167</v>
      </c>
      <c r="D81" s="180" t="s">
        <v>2303</v>
      </c>
      <c r="E81" s="238">
        <v>45443</v>
      </c>
      <c r="F81" s="108">
        <v>26.65</v>
      </c>
      <c r="G81" s="180" t="s">
        <v>2290</v>
      </c>
      <c r="H81" s="238">
        <v>45446</v>
      </c>
      <c r="I81" s="108">
        <v>25.8</v>
      </c>
      <c r="J81" s="180" t="s">
        <v>2291</v>
      </c>
      <c r="K81" s="238">
        <v>45446</v>
      </c>
      <c r="L81" s="108">
        <v>26.303549999999998</v>
      </c>
      <c r="M81" s="107">
        <f t="shared" si="2"/>
        <v>26.303549999999998</v>
      </c>
      <c r="N81" s="130"/>
      <c r="R81"/>
      <c r="S81"/>
      <c r="T81"/>
      <c r="U81"/>
    </row>
    <row r="82" spans="1:21" ht="24">
      <c r="A82" s="187" t="s">
        <v>2044</v>
      </c>
      <c r="B82" s="165" t="s">
        <v>580</v>
      </c>
      <c r="C82" s="373" t="s">
        <v>167</v>
      </c>
      <c r="D82" s="180" t="s">
        <v>2303</v>
      </c>
      <c r="E82" s="238">
        <v>45443</v>
      </c>
      <c r="F82" s="108">
        <v>21.32</v>
      </c>
      <c r="G82" s="180" t="s">
        <v>2290</v>
      </c>
      <c r="H82" s="238">
        <v>45446</v>
      </c>
      <c r="I82" s="108">
        <v>20.12</v>
      </c>
      <c r="J82" s="180" t="s">
        <v>2291</v>
      </c>
      <c r="K82" s="238">
        <v>45446</v>
      </c>
      <c r="L82" s="108">
        <v>21.042840000000002</v>
      </c>
      <c r="M82" s="107">
        <f t="shared" si="2"/>
        <v>21.042840000000002</v>
      </c>
      <c r="N82" s="130"/>
      <c r="R82"/>
      <c r="S82"/>
      <c r="T82"/>
      <c r="U82"/>
    </row>
    <row r="83" spans="1:21" ht="24">
      <c r="A83" s="187" t="s">
        <v>2045</v>
      </c>
      <c r="B83" s="165" t="s">
        <v>604</v>
      </c>
      <c r="C83" s="373" t="s">
        <v>167</v>
      </c>
      <c r="D83" s="180" t="s">
        <v>2280</v>
      </c>
      <c r="E83" s="238">
        <v>45443</v>
      </c>
      <c r="F83" s="108">
        <v>85.96</v>
      </c>
      <c r="G83" s="180" t="s">
        <v>2290</v>
      </c>
      <c r="H83" s="238">
        <v>45446</v>
      </c>
      <c r="I83" s="108">
        <v>180.32</v>
      </c>
      <c r="J83" s="180" t="s">
        <v>2291</v>
      </c>
      <c r="K83" s="238">
        <v>45446</v>
      </c>
      <c r="L83" s="108">
        <v>84.842519999999993</v>
      </c>
      <c r="M83" s="107">
        <f t="shared" si="2"/>
        <v>85.96</v>
      </c>
      <c r="N83" s="130"/>
      <c r="R83"/>
      <c r="S83"/>
      <c r="T83"/>
      <c r="U83"/>
    </row>
    <row r="84" spans="1:21" ht="24">
      <c r="A84" s="187" t="s">
        <v>2046</v>
      </c>
      <c r="B84" s="165" t="s">
        <v>607</v>
      </c>
      <c r="C84" s="373" t="s">
        <v>167</v>
      </c>
      <c r="D84" s="180" t="s">
        <v>2280</v>
      </c>
      <c r="E84" s="238">
        <v>45443</v>
      </c>
      <c r="F84" s="108">
        <v>61.71</v>
      </c>
      <c r="G84" s="180" t="s">
        <v>2290</v>
      </c>
      <c r="H84" s="238">
        <v>45446</v>
      </c>
      <c r="I84" s="108">
        <v>170.32</v>
      </c>
      <c r="J84" s="180" t="s">
        <v>2291</v>
      </c>
      <c r="K84" s="238">
        <v>45446</v>
      </c>
      <c r="L84" s="108">
        <v>60.907769999999999</v>
      </c>
      <c r="M84" s="107">
        <f t="shared" si="2"/>
        <v>61.71</v>
      </c>
      <c r="N84" s="130"/>
      <c r="R84"/>
      <c r="S84"/>
      <c r="T84"/>
      <c r="U84"/>
    </row>
    <row r="85" spans="1:21" ht="24">
      <c r="A85" s="187" t="s">
        <v>2007</v>
      </c>
      <c r="B85" s="165" t="s">
        <v>2008</v>
      </c>
      <c r="C85" s="373" t="s">
        <v>167</v>
      </c>
      <c r="D85" s="180" t="s">
        <v>2315</v>
      </c>
      <c r="E85" s="238">
        <v>45443</v>
      </c>
      <c r="F85" s="108">
        <v>105.89</v>
      </c>
      <c r="G85" s="180" t="s">
        <v>2290</v>
      </c>
      <c r="H85" s="238">
        <v>45446</v>
      </c>
      <c r="I85" s="108">
        <v>104.1</v>
      </c>
      <c r="J85" s="180" t="s">
        <v>2291</v>
      </c>
      <c r="K85" s="238">
        <v>45446</v>
      </c>
      <c r="L85" s="108">
        <v>103.18980500000001</v>
      </c>
      <c r="M85" s="107">
        <f t="shared" si="2"/>
        <v>104.1</v>
      </c>
      <c r="N85" s="130"/>
      <c r="R85"/>
      <c r="S85"/>
      <c r="T85"/>
      <c r="U85"/>
    </row>
    <row r="86" spans="1:21" ht="24">
      <c r="A86" s="187" t="s">
        <v>1996</v>
      </c>
      <c r="B86" s="165" t="s">
        <v>1997</v>
      </c>
      <c r="C86" s="373" t="s">
        <v>167</v>
      </c>
      <c r="D86" s="180" t="s">
        <v>2315</v>
      </c>
      <c r="E86" s="238">
        <v>45443</v>
      </c>
      <c r="F86" s="108">
        <v>72.77</v>
      </c>
      <c r="G86" s="180" t="s">
        <v>2290</v>
      </c>
      <c r="H86" s="238">
        <v>45446</v>
      </c>
      <c r="I86" s="108">
        <v>79.2</v>
      </c>
      <c r="J86" s="180" t="s">
        <v>2291</v>
      </c>
      <c r="K86" s="238">
        <v>45446</v>
      </c>
      <c r="L86" s="108">
        <v>70.914365000000004</v>
      </c>
      <c r="M86" s="107">
        <f t="shared" si="2"/>
        <v>72.77</v>
      </c>
      <c r="N86" s="130"/>
      <c r="R86"/>
      <c r="S86"/>
      <c r="T86"/>
      <c r="U86"/>
    </row>
    <row r="87" spans="1:21" ht="24">
      <c r="A87" s="187" t="s">
        <v>2002</v>
      </c>
      <c r="B87" s="165" t="s">
        <v>2003</v>
      </c>
      <c r="C87" s="373" t="s">
        <v>167</v>
      </c>
      <c r="D87" s="180" t="s">
        <v>2315</v>
      </c>
      <c r="E87" s="238">
        <v>45443</v>
      </c>
      <c r="F87" s="108">
        <v>61.04</v>
      </c>
      <c r="G87" s="180" t="s">
        <v>2290</v>
      </c>
      <c r="H87" s="238">
        <v>45446</v>
      </c>
      <c r="I87" s="108">
        <v>58.4</v>
      </c>
      <c r="J87" s="180" t="s">
        <v>2291</v>
      </c>
      <c r="K87" s="238">
        <v>45446</v>
      </c>
      <c r="L87" s="108">
        <v>59.48348</v>
      </c>
      <c r="M87" s="107">
        <f t="shared" si="2"/>
        <v>59.48348</v>
      </c>
      <c r="N87" s="130"/>
      <c r="R87"/>
      <c r="S87"/>
      <c r="T87"/>
      <c r="U87"/>
    </row>
    <row r="88" spans="1:21" ht="24">
      <c r="A88" s="187" t="s">
        <v>2047</v>
      </c>
      <c r="B88" s="165" t="s">
        <v>612</v>
      </c>
      <c r="C88" s="373" t="s">
        <v>167</v>
      </c>
      <c r="D88" s="180" t="s">
        <v>2316</v>
      </c>
      <c r="E88" s="238">
        <v>45443</v>
      </c>
      <c r="F88" s="108">
        <v>520.65</v>
      </c>
      <c r="G88" s="180" t="s">
        <v>2290</v>
      </c>
      <c r="H88" s="238">
        <v>45446</v>
      </c>
      <c r="I88" s="108">
        <v>540.67999999999995</v>
      </c>
      <c r="J88" s="180" t="s">
        <v>2291</v>
      </c>
      <c r="K88" s="238">
        <v>45446</v>
      </c>
      <c r="L88" s="108">
        <v>507.373425</v>
      </c>
      <c r="M88" s="107">
        <f t="shared" si="2"/>
        <v>520.65</v>
      </c>
      <c r="N88" s="130"/>
      <c r="R88"/>
      <c r="S88"/>
      <c r="T88"/>
      <c r="U88"/>
    </row>
    <row r="89" spans="1:21" ht="24">
      <c r="A89" s="187" t="s">
        <v>2050</v>
      </c>
      <c r="B89" s="165" t="s">
        <v>615</v>
      </c>
      <c r="C89" s="373" t="s">
        <v>167</v>
      </c>
      <c r="D89" s="180" t="s">
        <v>2303</v>
      </c>
      <c r="E89" s="238">
        <v>45443</v>
      </c>
      <c r="F89" s="108">
        <v>314.66000000000003</v>
      </c>
      <c r="G89" s="180" t="s">
        <v>2290</v>
      </c>
      <c r="H89" s="238">
        <v>45446</v>
      </c>
      <c r="I89" s="108">
        <v>320.18</v>
      </c>
      <c r="J89" s="180" t="s">
        <v>2291</v>
      </c>
      <c r="K89" s="238">
        <v>45446</v>
      </c>
      <c r="L89" s="108">
        <v>306.63617000000005</v>
      </c>
      <c r="M89" s="107">
        <f t="shared" si="2"/>
        <v>314.66000000000003</v>
      </c>
      <c r="N89" s="130"/>
      <c r="R89"/>
      <c r="S89"/>
      <c r="T89"/>
      <c r="U89"/>
    </row>
    <row r="90" spans="1:21" ht="24">
      <c r="A90" s="187" t="s">
        <v>2051</v>
      </c>
      <c r="B90" s="165" t="s">
        <v>618</v>
      </c>
      <c r="C90" s="373" t="s">
        <v>167</v>
      </c>
      <c r="D90" s="180" t="s">
        <v>2302</v>
      </c>
      <c r="E90" s="238">
        <v>45443</v>
      </c>
      <c r="F90" s="108">
        <v>464.69</v>
      </c>
      <c r="G90" s="180" t="s">
        <v>2290</v>
      </c>
      <c r="H90" s="238">
        <v>45446</v>
      </c>
      <c r="I90" s="108">
        <v>501.32</v>
      </c>
      <c r="J90" s="180" t="s">
        <v>2291</v>
      </c>
      <c r="K90" s="238">
        <v>45446</v>
      </c>
      <c r="L90" s="108">
        <v>452.84040500000003</v>
      </c>
      <c r="M90" s="107">
        <f t="shared" si="2"/>
        <v>464.69</v>
      </c>
      <c r="N90" s="130"/>
      <c r="R90"/>
      <c r="S90"/>
      <c r="T90"/>
      <c r="U90"/>
    </row>
    <row r="91" spans="1:21" ht="24">
      <c r="A91" s="187" t="s">
        <v>2052</v>
      </c>
      <c r="B91" s="165" t="s">
        <v>621</v>
      </c>
      <c r="C91" s="373" t="s">
        <v>167</v>
      </c>
      <c r="D91" s="180" t="s">
        <v>2303</v>
      </c>
      <c r="E91" s="238">
        <v>45443</v>
      </c>
      <c r="F91" s="108">
        <v>130.81</v>
      </c>
      <c r="G91" s="180" t="s">
        <v>2290</v>
      </c>
      <c r="H91" s="238">
        <v>45446</v>
      </c>
      <c r="I91" s="108">
        <v>128.02000000000001</v>
      </c>
      <c r="J91" s="180" t="s">
        <v>2291</v>
      </c>
      <c r="K91" s="238">
        <v>45446</v>
      </c>
      <c r="L91" s="108">
        <v>127.474345</v>
      </c>
      <c r="M91" s="107">
        <f t="shared" si="2"/>
        <v>128.02000000000001</v>
      </c>
      <c r="N91" s="130"/>
      <c r="R91"/>
      <c r="S91"/>
      <c r="T91"/>
      <c r="U91"/>
    </row>
    <row r="92" spans="1:21" ht="24">
      <c r="A92" s="187" t="s">
        <v>2053</v>
      </c>
      <c r="B92" s="165" t="s">
        <v>626</v>
      </c>
      <c r="C92" s="373" t="s">
        <v>167</v>
      </c>
      <c r="D92" s="180" t="s">
        <v>2317</v>
      </c>
      <c r="E92" s="238">
        <v>45443</v>
      </c>
      <c r="F92" s="108">
        <v>415.1</v>
      </c>
      <c r="G92" s="180" t="s">
        <v>2290</v>
      </c>
      <c r="H92" s="238">
        <v>45446</v>
      </c>
      <c r="I92" s="108">
        <v>411</v>
      </c>
      <c r="J92" s="180" t="s">
        <v>2291</v>
      </c>
      <c r="K92" s="238">
        <v>45446</v>
      </c>
      <c r="L92" s="108">
        <v>404.51495000000006</v>
      </c>
      <c r="M92" s="107">
        <f t="shared" si="2"/>
        <v>411</v>
      </c>
      <c r="N92" s="130"/>
      <c r="R92"/>
      <c r="S92"/>
      <c r="T92"/>
      <c r="U92"/>
    </row>
    <row r="93" spans="1:21" ht="24">
      <c r="A93" s="187" t="s">
        <v>2054</v>
      </c>
      <c r="B93" s="165" t="s">
        <v>629</v>
      </c>
      <c r="C93" s="373" t="s">
        <v>167</v>
      </c>
      <c r="D93" s="180" t="s">
        <v>2317</v>
      </c>
      <c r="E93" s="238">
        <v>45443</v>
      </c>
      <c r="F93" s="108">
        <v>102.99</v>
      </c>
      <c r="G93" s="180" t="s">
        <v>2290</v>
      </c>
      <c r="H93" s="238">
        <v>45446</v>
      </c>
      <c r="I93" s="108">
        <v>100.98</v>
      </c>
      <c r="J93" s="180" t="s">
        <v>2291</v>
      </c>
      <c r="K93" s="238">
        <v>45446</v>
      </c>
      <c r="L93" s="108">
        <v>100.363755</v>
      </c>
      <c r="M93" s="107">
        <f t="shared" si="2"/>
        <v>100.98</v>
      </c>
      <c r="N93" s="130"/>
      <c r="R93"/>
      <c r="S93"/>
      <c r="T93"/>
      <c r="U93"/>
    </row>
    <row r="94" spans="1:21" ht="24">
      <c r="A94" s="187" t="s">
        <v>2055</v>
      </c>
      <c r="B94" s="165" t="s">
        <v>634</v>
      </c>
      <c r="C94" s="373" t="s">
        <v>167</v>
      </c>
      <c r="D94" s="180" t="s">
        <v>2316</v>
      </c>
      <c r="E94" s="238">
        <v>45443</v>
      </c>
      <c r="F94" s="108">
        <v>272.79000000000002</v>
      </c>
      <c r="G94" s="180" t="s">
        <v>2290</v>
      </c>
      <c r="H94" s="238">
        <v>45446</v>
      </c>
      <c r="I94" s="108">
        <v>301.23</v>
      </c>
      <c r="J94" s="180" t="s">
        <v>2291</v>
      </c>
      <c r="K94" s="238">
        <v>45446</v>
      </c>
      <c r="L94" s="108">
        <v>265.83385500000003</v>
      </c>
      <c r="M94" s="107">
        <f t="shared" ref="M94:M125" si="3">MEDIAN(F94,I94,L94)</f>
        <v>272.79000000000002</v>
      </c>
      <c r="N94" s="130"/>
      <c r="R94"/>
      <c r="S94"/>
      <c r="T94"/>
      <c r="U94"/>
    </row>
    <row r="95" spans="1:21" ht="24">
      <c r="A95" s="187" t="s">
        <v>2056</v>
      </c>
      <c r="B95" s="165" t="s">
        <v>637</v>
      </c>
      <c r="C95" s="373" t="s">
        <v>167</v>
      </c>
      <c r="D95" s="180" t="s">
        <v>2310</v>
      </c>
      <c r="E95" s="238">
        <v>45443</v>
      </c>
      <c r="F95" s="108">
        <v>287.47000000000003</v>
      </c>
      <c r="G95" s="180" t="s">
        <v>2290</v>
      </c>
      <c r="H95" s="238">
        <v>45446</v>
      </c>
      <c r="I95" s="108">
        <v>301.02</v>
      </c>
      <c r="J95" s="180" t="s">
        <v>2291</v>
      </c>
      <c r="K95" s="238">
        <v>45446</v>
      </c>
      <c r="L95" s="108">
        <v>280.13951500000002</v>
      </c>
      <c r="M95" s="107">
        <f t="shared" si="3"/>
        <v>287.47000000000003</v>
      </c>
      <c r="N95" s="130"/>
      <c r="R95"/>
      <c r="S95"/>
      <c r="T95"/>
      <c r="U95"/>
    </row>
    <row r="96" spans="1:21" ht="24">
      <c r="A96" s="187" t="s">
        <v>2057</v>
      </c>
      <c r="B96" s="165" t="s">
        <v>640</v>
      </c>
      <c r="C96" s="373" t="s">
        <v>167</v>
      </c>
      <c r="D96" s="180" t="s">
        <v>2302</v>
      </c>
      <c r="E96" s="238">
        <v>45443</v>
      </c>
      <c r="F96" s="108">
        <v>371.89</v>
      </c>
      <c r="G96" s="180" t="s">
        <v>2290</v>
      </c>
      <c r="H96" s="238">
        <v>45446</v>
      </c>
      <c r="I96" s="108">
        <v>350.1</v>
      </c>
      <c r="J96" s="180" t="s">
        <v>2291</v>
      </c>
      <c r="K96" s="238">
        <v>45446</v>
      </c>
      <c r="L96" s="108">
        <v>362.40680500000002</v>
      </c>
      <c r="M96" s="107">
        <f t="shared" si="3"/>
        <v>362.40680500000002</v>
      </c>
      <c r="N96" s="130"/>
      <c r="R96"/>
      <c r="S96"/>
      <c r="T96"/>
      <c r="U96"/>
    </row>
    <row r="97" spans="1:21" ht="24">
      <c r="A97" s="187" t="s">
        <v>2058</v>
      </c>
      <c r="B97" s="165" t="s">
        <v>643</v>
      </c>
      <c r="C97" s="373" t="s">
        <v>167</v>
      </c>
      <c r="D97" s="180" t="s">
        <v>2310</v>
      </c>
      <c r="E97" s="238">
        <v>45443</v>
      </c>
      <c r="F97" s="108">
        <v>154.35</v>
      </c>
      <c r="G97" s="180" t="s">
        <v>2290</v>
      </c>
      <c r="H97" s="238">
        <v>45446</v>
      </c>
      <c r="I97" s="108">
        <v>160</v>
      </c>
      <c r="J97" s="180" t="s">
        <v>2291</v>
      </c>
      <c r="K97" s="238">
        <v>45446</v>
      </c>
      <c r="L97" s="108">
        <v>150.414075</v>
      </c>
      <c r="M97" s="107">
        <f t="shared" si="3"/>
        <v>154.35</v>
      </c>
      <c r="N97" s="130"/>
      <c r="R97"/>
      <c r="S97"/>
      <c r="T97"/>
      <c r="U97"/>
    </row>
    <row r="98" spans="1:21" ht="24">
      <c r="A98" s="187" t="s">
        <v>2059</v>
      </c>
      <c r="B98" s="165" t="s">
        <v>646</v>
      </c>
      <c r="C98" s="373" t="s">
        <v>167</v>
      </c>
      <c r="D98" s="180" t="s">
        <v>2310</v>
      </c>
      <c r="E98" s="238">
        <v>45443</v>
      </c>
      <c r="F98" s="108">
        <v>97.65</v>
      </c>
      <c r="G98" s="180" t="s">
        <v>2290</v>
      </c>
      <c r="H98" s="238">
        <v>45446</v>
      </c>
      <c r="I98" s="108">
        <v>89.1</v>
      </c>
      <c r="J98" s="180" t="s">
        <v>2291</v>
      </c>
      <c r="K98" s="238">
        <v>45446</v>
      </c>
      <c r="L98" s="108">
        <v>95.159925000000015</v>
      </c>
      <c r="M98" s="107">
        <f t="shared" si="3"/>
        <v>95.159925000000015</v>
      </c>
      <c r="N98" s="130"/>
      <c r="R98"/>
      <c r="S98"/>
      <c r="T98"/>
      <c r="U98"/>
    </row>
    <row r="99" spans="1:21" ht="24">
      <c r="A99" s="187" t="s">
        <v>2060</v>
      </c>
      <c r="B99" s="165" t="s">
        <v>649</v>
      </c>
      <c r="C99" s="373" t="s">
        <v>167</v>
      </c>
      <c r="D99" s="180" t="s">
        <v>2316</v>
      </c>
      <c r="E99" s="238">
        <v>45443</v>
      </c>
      <c r="F99" s="108">
        <v>327.77</v>
      </c>
      <c r="G99" s="180" t="s">
        <v>2290</v>
      </c>
      <c r="H99" s="238">
        <v>45446</v>
      </c>
      <c r="I99" s="108">
        <v>325</v>
      </c>
      <c r="J99" s="180" t="s">
        <v>2291</v>
      </c>
      <c r="K99" s="238">
        <v>45446</v>
      </c>
      <c r="L99" s="108">
        <v>319.41186499999998</v>
      </c>
      <c r="M99" s="107">
        <f t="shared" si="3"/>
        <v>325</v>
      </c>
      <c r="N99" s="130"/>
      <c r="R99"/>
      <c r="S99"/>
      <c r="T99"/>
      <c r="U99"/>
    </row>
    <row r="100" spans="1:21" ht="24">
      <c r="A100" s="187" t="s">
        <v>2061</v>
      </c>
      <c r="B100" s="165" t="s">
        <v>652</v>
      </c>
      <c r="C100" s="373" t="s">
        <v>167</v>
      </c>
      <c r="D100" s="180" t="s">
        <v>2316</v>
      </c>
      <c r="E100" s="238">
        <v>45443</v>
      </c>
      <c r="F100" s="108">
        <v>199.35</v>
      </c>
      <c r="G100" s="180" t="s">
        <v>2290</v>
      </c>
      <c r="H100" s="238">
        <v>45446</v>
      </c>
      <c r="I100" s="108">
        <v>189.9</v>
      </c>
      <c r="J100" s="180" t="s">
        <v>2291</v>
      </c>
      <c r="K100" s="238">
        <v>45446</v>
      </c>
      <c r="L100" s="108">
        <v>194.26657499999999</v>
      </c>
      <c r="M100" s="107">
        <f t="shared" si="3"/>
        <v>194.26657499999999</v>
      </c>
      <c r="N100" s="130"/>
      <c r="R100"/>
      <c r="S100"/>
      <c r="T100"/>
      <c r="U100"/>
    </row>
    <row r="101" spans="1:21" ht="24">
      <c r="A101" s="187" t="s">
        <v>2062</v>
      </c>
      <c r="B101" s="165" t="s">
        <v>655</v>
      </c>
      <c r="C101" s="373" t="s">
        <v>167</v>
      </c>
      <c r="D101" s="180" t="s">
        <v>2310</v>
      </c>
      <c r="E101" s="238">
        <v>45443</v>
      </c>
      <c r="F101" s="108">
        <v>146.49</v>
      </c>
      <c r="G101" s="180" t="s">
        <v>2290</v>
      </c>
      <c r="H101" s="238">
        <v>45446</v>
      </c>
      <c r="I101" s="108">
        <v>145.9</v>
      </c>
      <c r="J101" s="180" t="s">
        <v>2291</v>
      </c>
      <c r="K101" s="238">
        <v>45446</v>
      </c>
      <c r="L101" s="108">
        <v>142.75450500000002</v>
      </c>
      <c r="M101" s="107">
        <f t="shared" si="3"/>
        <v>145.9</v>
      </c>
      <c r="N101" s="130"/>
      <c r="R101"/>
      <c r="S101"/>
      <c r="T101"/>
      <c r="U101"/>
    </row>
    <row r="102" spans="1:21" ht="24">
      <c r="A102" s="187" t="s">
        <v>2063</v>
      </c>
      <c r="B102" s="165" t="s">
        <v>658</v>
      </c>
      <c r="C102" s="373" t="s">
        <v>167</v>
      </c>
      <c r="D102" s="180" t="s">
        <v>2310</v>
      </c>
      <c r="E102" s="238">
        <v>45443</v>
      </c>
      <c r="F102" s="108">
        <v>205.88</v>
      </c>
      <c r="G102" s="180" t="s">
        <v>2290</v>
      </c>
      <c r="H102" s="238">
        <v>45446</v>
      </c>
      <c r="I102" s="108">
        <v>203.89</v>
      </c>
      <c r="J102" s="180" t="s">
        <v>2291</v>
      </c>
      <c r="K102" s="238">
        <v>45446</v>
      </c>
      <c r="L102" s="108">
        <v>200.63006000000001</v>
      </c>
      <c r="M102" s="107">
        <f t="shared" si="3"/>
        <v>203.89</v>
      </c>
      <c r="N102" s="130"/>
      <c r="R102"/>
      <c r="S102"/>
      <c r="T102"/>
      <c r="U102"/>
    </row>
    <row r="103" spans="1:21" ht="24">
      <c r="A103" s="187" t="s">
        <v>2064</v>
      </c>
      <c r="B103" s="165" t="s">
        <v>661</v>
      </c>
      <c r="C103" s="373" t="s">
        <v>167</v>
      </c>
      <c r="D103" s="180" t="s">
        <v>2310</v>
      </c>
      <c r="E103" s="238">
        <v>45443</v>
      </c>
      <c r="F103" s="108">
        <v>179.85</v>
      </c>
      <c r="G103" s="180" t="s">
        <v>2290</v>
      </c>
      <c r="H103" s="238">
        <v>45446</v>
      </c>
      <c r="I103" s="108">
        <v>189.9</v>
      </c>
      <c r="J103" s="180" t="s">
        <v>2291</v>
      </c>
      <c r="K103" s="238">
        <v>45446</v>
      </c>
      <c r="L103" s="108">
        <v>175.263825</v>
      </c>
      <c r="M103" s="107">
        <f t="shared" si="3"/>
        <v>179.85</v>
      </c>
      <c r="N103" s="130"/>
      <c r="R103"/>
      <c r="S103"/>
      <c r="T103"/>
      <c r="U103"/>
    </row>
    <row r="104" spans="1:21" ht="24">
      <c r="A104" s="187" t="s">
        <v>2065</v>
      </c>
      <c r="B104" s="165" t="s">
        <v>664</v>
      </c>
      <c r="C104" s="373" t="s">
        <v>167</v>
      </c>
      <c r="D104" s="180" t="s">
        <v>2316</v>
      </c>
      <c r="E104" s="238">
        <v>45443</v>
      </c>
      <c r="F104" s="108">
        <v>93.61</v>
      </c>
      <c r="G104" s="180" t="s">
        <v>2290</v>
      </c>
      <c r="H104" s="238">
        <v>45446</v>
      </c>
      <c r="I104" s="108">
        <v>100.9</v>
      </c>
      <c r="J104" s="180" t="s">
        <v>2291</v>
      </c>
      <c r="K104" s="238">
        <v>45446</v>
      </c>
      <c r="L104" s="108">
        <v>91.222944999999996</v>
      </c>
      <c r="M104" s="107">
        <f t="shared" si="3"/>
        <v>93.61</v>
      </c>
      <c r="N104" s="130"/>
      <c r="R104"/>
      <c r="S104"/>
      <c r="T104"/>
      <c r="U104"/>
    </row>
    <row r="105" spans="1:21" ht="24">
      <c r="A105" s="187" t="s">
        <v>2066</v>
      </c>
      <c r="B105" s="165" t="s">
        <v>667</v>
      </c>
      <c r="C105" s="373" t="s">
        <v>167</v>
      </c>
      <c r="D105" s="180" t="s">
        <v>2316</v>
      </c>
      <c r="E105" s="238">
        <v>45443</v>
      </c>
      <c r="F105" s="108">
        <v>103.55</v>
      </c>
      <c r="G105" s="180" t="s">
        <v>2290</v>
      </c>
      <c r="H105" s="238">
        <v>45446</v>
      </c>
      <c r="I105" s="108">
        <v>99.9</v>
      </c>
      <c r="J105" s="180" t="s">
        <v>2291</v>
      </c>
      <c r="K105" s="238">
        <v>45446</v>
      </c>
      <c r="L105" s="108">
        <v>100.909475</v>
      </c>
      <c r="M105" s="107">
        <f t="shared" si="3"/>
        <v>100.909475</v>
      </c>
      <c r="N105" s="130"/>
      <c r="R105"/>
      <c r="S105"/>
      <c r="T105"/>
      <c r="U105"/>
    </row>
    <row r="106" spans="1:21" ht="24">
      <c r="A106" s="187" t="s">
        <v>2067</v>
      </c>
      <c r="B106" s="165" t="s">
        <v>670</v>
      </c>
      <c r="C106" s="373" t="s">
        <v>167</v>
      </c>
      <c r="D106" s="180" t="s">
        <v>2310</v>
      </c>
      <c r="E106" s="238">
        <v>45443</v>
      </c>
      <c r="F106" s="108">
        <v>1306.47</v>
      </c>
      <c r="G106" s="180" t="s">
        <v>2290</v>
      </c>
      <c r="H106" s="238">
        <v>45446</v>
      </c>
      <c r="I106" s="108">
        <v>1250.3</v>
      </c>
      <c r="J106" s="180" t="s">
        <v>2291</v>
      </c>
      <c r="K106" s="238">
        <v>45446</v>
      </c>
      <c r="L106" s="108">
        <v>1273.155015</v>
      </c>
      <c r="M106" s="107">
        <f t="shared" si="3"/>
        <v>1273.155015</v>
      </c>
      <c r="N106" s="130"/>
      <c r="R106"/>
      <c r="S106"/>
      <c r="T106"/>
      <c r="U106"/>
    </row>
    <row r="107" spans="1:21" ht="24">
      <c r="A107" s="187" t="s">
        <v>2068</v>
      </c>
      <c r="B107" s="165" t="s">
        <v>673</v>
      </c>
      <c r="C107" s="373" t="s">
        <v>167</v>
      </c>
      <c r="D107" s="180" t="s">
        <v>2310</v>
      </c>
      <c r="E107" s="238">
        <v>45443</v>
      </c>
      <c r="F107" s="108">
        <v>1306.47</v>
      </c>
      <c r="G107" s="180" t="s">
        <v>2290</v>
      </c>
      <c r="H107" s="238">
        <v>45446</v>
      </c>
      <c r="I107" s="108">
        <v>1199.8900000000001</v>
      </c>
      <c r="J107" s="180" t="s">
        <v>2291</v>
      </c>
      <c r="K107" s="238">
        <v>45446</v>
      </c>
      <c r="L107" s="108">
        <v>1273.155015</v>
      </c>
      <c r="M107" s="107">
        <f t="shared" si="3"/>
        <v>1273.155015</v>
      </c>
      <c r="N107" s="130"/>
      <c r="R107"/>
      <c r="S107"/>
      <c r="T107"/>
      <c r="U107"/>
    </row>
    <row r="108" spans="1:21" ht="24">
      <c r="A108" s="187" t="s">
        <v>2069</v>
      </c>
      <c r="B108" s="165" t="s">
        <v>676</v>
      </c>
      <c r="C108" s="373" t="s">
        <v>167</v>
      </c>
      <c r="D108" s="180" t="s">
        <v>2310</v>
      </c>
      <c r="E108" s="238">
        <v>45443</v>
      </c>
      <c r="F108" s="108">
        <v>1306.47</v>
      </c>
      <c r="G108" s="180" t="s">
        <v>2290</v>
      </c>
      <c r="H108" s="238">
        <v>45446</v>
      </c>
      <c r="I108" s="108">
        <v>1099.2</v>
      </c>
      <c r="J108" s="180" t="s">
        <v>2291</v>
      </c>
      <c r="K108" s="238">
        <v>45446</v>
      </c>
      <c r="L108" s="108">
        <v>1273.155015</v>
      </c>
      <c r="M108" s="107">
        <f t="shared" si="3"/>
        <v>1273.155015</v>
      </c>
      <c r="N108" s="130"/>
      <c r="R108"/>
      <c r="S108"/>
      <c r="T108"/>
      <c r="U108"/>
    </row>
    <row r="109" spans="1:21" ht="24">
      <c r="A109" s="187" t="s">
        <v>2070</v>
      </c>
      <c r="B109" s="165" t="s">
        <v>679</v>
      </c>
      <c r="C109" s="373" t="s">
        <v>167</v>
      </c>
      <c r="D109" s="180" t="s">
        <v>2302</v>
      </c>
      <c r="E109" s="238">
        <v>45443</v>
      </c>
      <c r="F109" s="108">
        <v>1135.03</v>
      </c>
      <c r="G109" s="180" t="s">
        <v>2290</v>
      </c>
      <c r="H109" s="238">
        <v>45446</v>
      </c>
      <c r="I109" s="108">
        <v>1205</v>
      </c>
      <c r="J109" s="180" t="s">
        <v>2291</v>
      </c>
      <c r="K109" s="238">
        <v>45446</v>
      </c>
      <c r="L109" s="108">
        <v>1106.0867350000001</v>
      </c>
      <c r="M109" s="107">
        <f t="shared" si="3"/>
        <v>1135.03</v>
      </c>
      <c r="N109" s="130"/>
      <c r="R109"/>
      <c r="S109"/>
      <c r="T109"/>
      <c r="U109"/>
    </row>
    <row r="110" spans="1:21" ht="24">
      <c r="A110" s="187" t="s">
        <v>2071</v>
      </c>
      <c r="B110" s="165" t="s">
        <v>682</v>
      </c>
      <c r="C110" s="373" t="s">
        <v>167</v>
      </c>
      <c r="D110" s="180" t="s">
        <v>2310</v>
      </c>
      <c r="E110" s="238">
        <v>45443</v>
      </c>
      <c r="F110" s="108">
        <v>1306.47</v>
      </c>
      <c r="G110" s="180" t="s">
        <v>2290</v>
      </c>
      <c r="H110" s="238">
        <v>45446</v>
      </c>
      <c r="I110" s="108">
        <v>1190</v>
      </c>
      <c r="J110" s="180" t="s">
        <v>2291</v>
      </c>
      <c r="K110" s="238">
        <v>45446</v>
      </c>
      <c r="L110" s="108">
        <v>1273.155015</v>
      </c>
      <c r="M110" s="107">
        <f t="shared" si="3"/>
        <v>1273.155015</v>
      </c>
      <c r="N110" s="130"/>
      <c r="R110"/>
      <c r="S110"/>
      <c r="T110"/>
      <c r="U110"/>
    </row>
    <row r="111" spans="1:21" ht="24">
      <c r="A111" s="187" t="s">
        <v>2072</v>
      </c>
      <c r="B111" s="165" t="s">
        <v>685</v>
      </c>
      <c r="C111" s="373" t="s">
        <v>167</v>
      </c>
      <c r="D111" s="180" t="s">
        <v>2310</v>
      </c>
      <c r="E111" s="238">
        <v>45443</v>
      </c>
      <c r="F111" s="108">
        <v>211.16</v>
      </c>
      <c r="G111" s="180" t="s">
        <v>2290</v>
      </c>
      <c r="H111" s="238">
        <v>45446</v>
      </c>
      <c r="I111" s="108">
        <v>220</v>
      </c>
      <c r="J111" s="180" t="s">
        <v>2291</v>
      </c>
      <c r="K111" s="238">
        <v>45446</v>
      </c>
      <c r="L111" s="108">
        <v>205.77542</v>
      </c>
      <c r="M111" s="107">
        <f t="shared" si="3"/>
        <v>211.16</v>
      </c>
      <c r="N111" s="130"/>
      <c r="R111"/>
      <c r="S111"/>
      <c r="T111"/>
      <c r="U111"/>
    </row>
    <row r="112" spans="1:21" ht="60">
      <c r="A112" s="187" t="s">
        <v>2079</v>
      </c>
      <c r="B112" s="165" t="s">
        <v>716</v>
      </c>
      <c r="C112" s="373" t="s">
        <v>167</v>
      </c>
      <c r="D112" s="180" t="s">
        <v>2318</v>
      </c>
      <c r="E112" s="238">
        <v>45411</v>
      </c>
      <c r="F112" s="108">
        <f>1644.08+3070.43+145</f>
        <v>4859.51</v>
      </c>
      <c r="G112" s="180" t="s">
        <v>2290</v>
      </c>
      <c r="H112" s="238">
        <v>45446</v>
      </c>
      <c r="I112" s="108">
        <v>4980</v>
      </c>
      <c r="J112" s="180" t="s">
        <v>2291</v>
      </c>
      <c r="K112" s="238">
        <v>45446</v>
      </c>
      <c r="L112" s="108">
        <v>4735.5924950000008</v>
      </c>
      <c r="M112" s="107">
        <f t="shared" si="3"/>
        <v>4859.51</v>
      </c>
      <c r="N112" s="130"/>
      <c r="R112"/>
      <c r="S112"/>
      <c r="T112"/>
      <c r="U112"/>
    </row>
    <row r="113" spans="1:21" ht="60">
      <c r="A113" s="187" t="s">
        <v>2080</v>
      </c>
      <c r="B113" s="165" t="s">
        <v>719</v>
      </c>
      <c r="C113" s="373" t="s">
        <v>167</v>
      </c>
      <c r="D113" s="180" t="s">
        <v>2318</v>
      </c>
      <c r="E113" s="238">
        <v>45411</v>
      </c>
      <c r="F113" s="108">
        <f>966.66+2236.38+145</f>
        <v>3348.04</v>
      </c>
      <c r="G113" s="180" t="s">
        <v>2290</v>
      </c>
      <c r="H113" s="238">
        <v>45446</v>
      </c>
      <c r="I113" s="108">
        <v>3350</v>
      </c>
      <c r="J113" s="180" t="s">
        <v>2291</v>
      </c>
      <c r="K113" s="238">
        <v>45446</v>
      </c>
      <c r="L113" s="108">
        <v>3262.66498</v>
      </c>
      <c r="M113" s="107">
        <f t="shared" si="3"/>
        <v>3348.04</v>
      </c>
      <c r="N113" s="130"/>
      <c r="R113"/>
      <c r="S113"/>
      <c r="T113"/>
      <c r="U113"/>
    </row>
    <row r="114" spans="1:21" ht="60">
      <c r="A114" s="187" t="s">
        <v>2081</v>
      </c>
      <c r="B114" s="165" t="s">
        <v>722</v>
      </c>
      <c r="C114" s="373" t="s">
        <v>167</v>
      </c>
      <c r="D114" s="180" t="s">
        <v>2318</v>
      </c>
      <c r="E114" s="238">
        <v>45411</v>
      </c>
      <c r="F114" s="108">
        <f>907.24+2236.38+145</f>
        <v>3288.62</v>
      </c>
      <c r="G114" s="180" t="s">
        <v>2290</v>
      </c>
      <c r="H114" s="238">
        <v>45446</v>
      </c>
      <c r="I114" s="108">
        <v>3350</v>
      </c>
      <c r="J114" s="180" t="s">
        <v>2291</v>
      </c>
      <c r="K114" s="238">
        <v>45446</v>
      </c>
      <c r="L114" s="108">
        <v>3420.1648</v>
      </c>
      <c r="M114" s="107">
        <f t="shared" si="3"/>
        <v>3350</v>
      </c>
      <c r="N114" s="130"/>
      <c r="R114"/>
      <c r="S114"/>
      <c r="T114"/>
      <c r="U114"/>
    </row>
    <row r="115" spans="1:21" ht="60">
      <c r="A115" s="187" t="s">
        <v>2082</v>
      </c>
      <c r="B115" s="165" t="s">
        <v>725</v>
      </c>
      <c r="C115" s="373" t="s">
        <v>167</v>
      </c>
      <c r="D115" s="180" t="s">
        <v>2318</v>
      </c>
      <c r="E115" s="238">
        <v>45411</v>
      </c>
      <c r="F115" s="108">
        <v>1325.82</v>
      </c>
      <c r="G115" s="180" t="s">
        <v>2290</v>
      </c>
      <c r="H115" s="238">
        <v>45446</v>
      </c>
      <c r="I115" s="108">
        <v>1450</v>
      </c>
      <c r="J115" s="180" t="s">
        <v>2291</v>
      </c>
      <c r="K115" s="238">
        <v>45446</v>
      </c>
      <c r="L115" s="108">
        <v>1378.8527999999999</v>
      </c>
      <c r="M115" s="107">
        <f t="shared" si="3"/>
        <v>1378.8527999999999</v>
      </c>
      <c r="N115" s="130"/>
      <c r="R115"/>
      <c r="S115"/>
      <c r="T115"/>
      <c r="U115"/>
    </row>
    <row r="116" spans="1:21" ht="60">
      <c r="A116" s="187" t="s">
        <v>2083</v>
      </c>
      <c r="B116" s="165" t="s">
        <v>728</v>
      </c>
      <c r="C116" s="373" t="s">
        <v>167</v>
      </c>
      <c r="D116" s="180" t="s">
        <v>2319</v>
      </c>
      <c r="E116" s="238">
        <v>45411</v>
      </c>
      <c r="F116" s="108">
        <v>1057.31</v>
      </c>
      <c r="G116" s="180" t="s">
        <v>2290</v>
      </c>
      <c r="H116" s="238">
        <v>45446</v>
      </c>
      <c r="I116" s="108">
        <v>1050</v>
      </c>
      <c r="J116" s="180" t="s">
        <v>2291</v>
      </c>
      <c r="K116" s="238">
        <v>45446</v>
      </c>
      <c r="L116" s="108">
        <v>1099.6024</v>
      </c>
      <c r="M116" s="107">
        <f t="shared" si="3"/>
        <v>1057.31</v>
      </c>
      <c r="N116" s="130"/>
      <c r="R116"/>
      <c r="S116"/>
      <c r="T116"/>
      <c r="U116"/>
    </row>
    <row r="117" spans="1:21" ht="60">
      <c r="A117" s="187" t="s">
        <v>2084</v>
      </c>
      <c r="B117" s="165" t="s">
        <v>731</v>
      </c>
      <c r="C117" s="373" t="s">
        <v>167</v>
      </c>
      <c r="D117" s="180" t="s">
        <v>2320</v>
      </c>
      <c r="E117" s="238">
        <v>45411</v>
      </c>
      <c r="F117" s="108">
        <v>4629.08</v>
      </c>
      <c r="G117" s="180" t="s">
        <v>2290</v>
      </c>
      <c r="H117" s="238">
        <v>45446</v>
      </c>
      <c r="I117" s="108">
        <v>4720</v>
      </c>
      <c r="J117" s="180" t="s">
        <v>2291</v>
      </c>
      <c r="K117" s="238">
        <v>45446</v>
      </c>
      <c r="L117" s="108">
        <v>4814.2431999999999</v>
      </c>
      <c r="M117" s="107">
        <f t="shared" si="3"/>
        <v>4720</v>
      </c>
      <c r="N117" s="130"/>
      <c r="R117"/>
      <c r="S117"/>
      <c r="T117"/>
      <c r="U117"/>
    </row>
    <row r="118" spans="1:21" ht="60">
      <c r="A118" s="187" t="s">
        <v>2085</v>
      </c>
      <c r="B118" s="165" t="s">
        <v>734</v>
      </c>
      <c r="C118" s="373" t="s">
        <v>167</v>
      </c>
      <c r="D118" s="180" t="s">
        <v>2321</v>
      </c>
      <c r="E118" s="238">
        <v>45411</v>
      </c>
      <c r="F118" s="108">
        <v>893.21</v>
      </c>
      <c r="G118" s="180" t="s">
        <v>2290</v>
      </c>
      <c r="H118" s="238">
        <v>45446</v>
      </c>
      <c r="I118" s="108">
        <v>895.4</v>
      </c>
      <c r="J118" s="180" t="s">
        <v>2291</v>
      </c>
      <c r="K118" s="238">
        <v>45446</v>
      </c>
      <c r="L118" s="108">
        <v>928.93840000000012</v>
      </c>
      <c r="M118" s="107">
        <f t="shared" si="3"/>
        <v>895.4</v>
      </c>
      <c r="N118" s="130"/>
      <c r="R118"/>
      <c r="S118"/>
      <c r="T118"/>
      <c r="U118"/>
    </row>
    <row r="119" spans="1:21" ht="60">
      <c r="A119" s="187" t="s">
        <v>2086</v>
      </c>
      <c r="B119" s="165" t="s">
        <v>731</v>
      </c>
      <c r="C119" s="373" t="s">
        <v>167</v>
      </c>
      <c r="D119" s="180" t="s">
        <v>2294</v>
      </c>
      <c r="E119" s="238">
        <v>45411</v>
      </c>
      <c r="F119" s="108">
        <v>4629.08</v>
      </c>
      <c r="G119" s="180" t="s">
        <v>2290</v>
      </c>
      <c r="H119" s="238">
        <v>45446</v>
      </c>
      <c r="I119" s="108">
        <v>4720</v>
      </c>
      <c r="J119" s="180" t="s">
        <v>2291</v>
      </c>
      <c r="K119" s="238">
        <v>45446</v>
      </c>
      <c r="L119" s="108">
        <v>4814.2431999999999</v>
      </c>
      <c r="M119" s="107">
        <f t="shared" si="3"/>
        <v>4720</v>
      </c>
      <c r="N119" s="130"/>
      <c r="R119"/>
      <c r="S119"/>
      <c r="T119"/>
      <c r="U119"/>
    </row>
    <row r="120" spans="1:21" ht="75.599999999999994" customHeight="1">
      <c r="A120" s="187" t="s">
        <v>2093</v>
      </c>
      <c r="B120" s="476" t="s">
        <v>1021</v>
      </c>
      <c r="C120" s="373" t="s">
        <v>167</v>
      </c>
      <c r="D120" s="180" t="s">
        <v>2292</v>
      </c>
      <c r="E120" s="238">
        <v>45422</v>
      </c>
      <c r="F120" s="108">
        <v>61745</v>
      </c>
      <c r="G120" s="180" t="s">
        <v>2290</v>
      </c>
      <c r="H120" s="238">
        <v>45446</v>
      </c>
      <c r="I120" s="108">
        <v>65650</v>
      </c>
      <c r="J120" s="180" t="s">
        <v>2291</v>
      </c>
      <c r="K120" s="238">
        <v>45446</v>
      </c>
      <c r="L120" s="108">
        <v>62609.43</v>
      </c>
      <c r="M120" s="107">
        <f t="shared" si="3"/>
        <v>62609.43</v>
      </c>
      <c r="N120" s="130"/>
      <c r="R120"/>
      <c r="S120"/>
      <c r="T120"/>
      <c r="U120"/>
    </row>
    <row r="121" spans="1:21" ht="75.599999999999994" customHeight="1">
      <c r="A121" s="187" t="s">
        <v>2101</v>
      </c>
      <c r="B121" s="476" t="s">
        <v>1024</v>
      </c>
      <c r="C121" s="373" t="s">
        <v>167</v>
      </c>
      <c r="D121" s="180" t="s">
        <v>2322</v>
      </c>
      <c r="E121" s="238">
        <v>45422</v>
      </c>
      <c r="F121" s="108">
        <v>33260</v>
      </c>
      <c r="G121" s="180" t="s">
        <v>2290</v>
      </c>
      <c r="H121" s="238">
        <v>45446</v>
      </c>
      <c r="I121" s="108">
        <v>39400</v>
      </c>
      <c r="J121" s="180" t="s">
        <v>2291</v>
      </c>
      <c r="K121" s="238">
        <v>45446</v>
      </c>
      <c r="L121" s="108">
        <v>33725.64</v>
      </c>
      <c r="M121" s="107">
        <f t="shared" si="3"/>
        <v>33725.64</v>
      </c>
      <c r="N121" s="130"/>
      <c r="R121"/>
      <c r="S121"/>
      <c r="T121"/>
      <c r="U121"/>
    </row>
    <row r="122" spans="1:21" ht="75.599999999999994" customHeight="1">
      <c r="A122" s="187" t="s">
        <v>2102</v>
      </c>
      <c r="B122" s="476" t="s">
        <v>1027</v>
      </c>
      <c r="C122" s="373" t="s">
        <v>167</v>
      </c>
      <c r="D122" s="180" t="s">
        <v>2323</v>
      </c>
      <c r="E122" s="238">
        <v>45422</v>
      </c>
      <c r="F122" s="108">
        <v>33260</v>
      </c>
      <c r="G122" s="180" t="s">
        <v>2290</v>
      </c>
      <c r="H122" s="238">
        <v>45446</v>
      </c>
      <c r="I122" s="108">
        <v>39400</v>
      </c>
      <c r="J122" s="180" t="s">
        <v>2291</v>
      </c>
      <c r="K122" s="238">
        <v>45446</v>
      </c>
      <c r="L122" s="108">
        <v>33725.64</v>
      </c>
      <c r="M122" s="107">
        <f t="shared" si="3"/>
        <v>33725.64</v>
      </c>
      <c r="N122" s="130"/>
      <c r="R122"/>
      <c r="S122"/>
      <c r="T122"/>
      <c r="U122"/>
    </row>
    <row r="123" spans="1:21" ht="75.599999999999994" customHeight="1">
      <c r="A123" s="187" t="s">
        <v>2103</v>
      </c>
      <c r="B123" s="476" t="s">
        <v>1030</v>
      </c>
      <c r="C123" s="373" t="s">
        <v>167</v>
      </c>
      <c r="D123" s="180" t="s">
        <v>2324</v>
      </c>
      <c r="E123" s="238">
        <v>45422</v>
      </c>
      <c r="F123" s="108">
        <v>61745</v>
      </c>
      <c r="G123" s="180" t="s">
        <v>2290</v>
      </c>
      <c r="H123" s="238">
        <v>45446</v>
      </c>
      <c r="I123" s="108">
        <v>65650</v>
      </c>
      <c r="J123" s="180" t="s">
        <v>2291</v>
      </c>
      <c r="K123" s="238">
        <v>45446</v>
      </c>
      <c r="L123" s="108">
        <v>62609.43</v>
      </c>
      <c r="M123" s="107">
        <f t="shared" si="3"/>
        <v>62609.43</v>
      </c>
      <c r="N123" s="130"/>
      <c r="R123"/>
      <c r="S123"/>
      <c r="T123"/>
      <c r="U123"/>
    </row>
    <row r="124" spans="1:21" ht="84">
      <c r="A124" s="187" t="s">
        <v>2104</v>
      </c>
      <c r="B124" s="165" t="s">
        <v>1035</v>
      </c>
      <c r="C124" s="373" t="s">
        <v>167</v>
      </c>
      <c r="D124" s="180" t="s">
        <v>2325</v>
      </c>
      <c r="E124" s="238">
        <v>45411</v>
      </c>
      <c r="F124" s="108">
        <v>1393.18</v>
      </c>
      <c r="G124" s="180" t="s">
        <v>2290</v>
      </c>
      <c r="H124" s="238">
        <v>45446</v>
      </c>
      <c r="I124" s="108">
        <v>1450.2</v>
      </c>
      <c r="J124" s="180" t="s">
        <v>2291</v>
      </c>
      <c r="K124" s="238">
        <v>45446</v>
      </c>
      <c r="L124" s="108">
        <v>1462.8390000000002</v>
      </c>
      <c r="M124" s="107">
        <f t="shared" si="3"/>
        <v>1450.2</v>
      </c>
      <c r="N124" s="130"/>
      <c r="R124"/>
      <c r="S124"/>
      <c r="T124"/>
      <c r="U124"/>
    </row>
    <row r="125" spans="1:21" ht="84">
      <c r="A125" s="187" t="s">
        <v>2106</v>
      </c>
      <c r="B125" s="165" t="s">
        <v>1038</v>
      </c>
      <c r="C125" s="373" t="s">
        <v>167</v>
      </c>
      <c r="D125" s="180" t="s">
        <v>2325</v>
      </c>
      <c r="E125" s="238">
        <v>45411</v>
      </c>
      <c r="F125" s="108">
        <v>1230.51</v>
      </c>
      <c r="G125" s="180" t="s">
        <v>2290</v>
      </c>
      <c r="H125" s="238">
        <v>45446</v>
      </c>
      <c r="I125" s="108">
        <v>1350.18</v>
      </c>
      <c r="J125" s="180" t="s">
        <v>2291</v>
      </c>
      <c r="K125" s="238">
        <v>45446</v>
      </c>
      <c r="L125" s="108">
        <v>1292.0355</v>
      </c>
      <c r="M125" s="107">
        <f t="shared" si="3"/>
        <v>1292.0355</v>
      </c>
      <c r="N125" s="130"/>
      <c r="R125"/>
      <c r="S125"/>
      <c r="T125"/>
      <c r="U125"/>
    </row>
    <row r="126" spans="1:21" ht="84">
      <c r="A126" s="187" t="s">
        <v>2107</v>
      </c>
      <c r="B126" s="165" t="s">
        <v>1041</v>
      </c>
      <c r="C126" s="373" t="s">
        <v>167</v>
      </c>
      <c r="D126" s="180" t="s">
        <v>2325</v>
      </c>
      <c r="E126" s="238">
        <v>45411</v>
      </c>
      <c r="F126" s="108">
        <v>1822.78</v>
      </c>
      <c r="G126" s="180" t="s">
        <v>2290</v>
      </c>
      <c r="H126" s="238">
        <v>45446</v>
      </c>
      <c r="I126" s="108">
        <v>1950.39</v>
      </c>
      <c r="J126" s="180" t="s">
        <v>2291</v>
      </c>
      <c r="K126" s="238">
        <v>45446</v>
      </c>
      <c r="L126" s="108">
        <v>1913.9190000000001</v>
      </c>
      <c r="M126" s="107">
        <f t="shared" ref="M126:M157" si="4">MEDIAN(F126,I126,L126)</f>
        <v>1913.9190000000001</v>
      </c>
      <c r="N126" s="130"/>
      <c r="R126"/>
      <c r="S126"/>
      <c r="T126"/>
      <c r="U126"/>
    </row>
    <row r="127" spans="1:21" ht="84">
      <c r="A127" s="187" t="s">
        <v>2108</v>
      </c>
      <c r="B127" s="165" t="s">
        <v>1791</v>
      </c>
      <c r="C127" s="373" t="s">
        <v>167</v>
      </c>
      <c r="D127" s="180" t="s">
        <v>2325</v>
      </c>
      <c r="E127" s="238">
        <v>45411</v>
      </c>
      <c r="F127" s="108">
        <v>1311.29</v>
      </c>
      <c r="G127" s="180" t="s">
        <v>2290</v>
      </c>
      <c r="H127" s="238">
        <v>45446</v>
      </c>
      <c r="I127" s="108">
        <v>1390.28</v>
      </c>
      <c r="J127" s="180" t="s">
        <v>2291</v>
      </c>
      <c r="K127" s="238">
        <v>45446</v>
      </c>
      <c r="L127" s="108">
        <v>1376.8544999999999</v>
      </c>
      <c r="M127" s="107">
        <f t="shared" si="4"/>
        <v>1376.8544999999999</v>
      </c>
      <c r="N127" s="130"/>
      <c r="R127"/>
      <c r="S127"/>
      <c r="T127"/>
      <c r="U127"/>
    </row>
    <row r="128" spans="1:21" ht="84">
      <c r="A128" s="187" t="s">
        <v>2109</v>
      </c>
      <c r="B128" s="165" t="s">
        <v>1793</v>
      </c>
      <c r="C128" s="373" t="s">
        <v>167</v>
      </c>
      <c r="D128" s="180" t="s">
        <v>2325</v>
      </c>
      <c r="E128" s="238">
        <v>45411</v>
      </c>
      <c r="F128" s="108">
        <v>1054.18</v>
      </c>
      <c r="G128" s="180" t="s">
        <v>2290</v>
      </c>
      <c r="H128" s="238">
        <v>45446</v>
      </c>
      <c r="I128" s="108">
        <v>1100.8499999999999</v>
      </c>
      <c r="J128" s="180" t="s">
        <v>2291</v>
      </c>
      <c r="K128" s="238">
        <v>45446</v>
      </c>
      <c r="L128" s="108">
        <v>1106.8890000000001</v>
      </c>
      <c r="M128" s="107">
        <f t="shared" si="4"/>
        <v>1100.8499999999999</v>
      </c>
      <c r="N128" s="130"/>
      <c r="R128"/>
      <c r="S128"/>
      <c r="T128"/>
      <c r="U128"/>
    </row>
    <row r="129" spans="1:21" ht="84">
      <c r="A129" s="187" t="s">
        <v>2110</v>
      </c>
      <c r="B129" s="165" t="s">
        <v>1795</v>
      </c>
      <c r="C129" s="373" t="s">
        <v>167</v>
      </c>
      <c r="D129" s="180" t="s">
        <v>2325</v>
      </c>
      <c r="E129" s="238">
        <v>45411</v>
      </c>
      <c r="F129" s="108">
        <v>896.6</v>
      </c>
      <c r="G129" s="180" t="s">
        <v>2290</v>
      </c>
      <c r="H129" s="238">
        <v>45446</v>
      </c>
      <c r="I129" s="108">
        <v>901.2</v>
      </c>
      <c r="J129" s="180" t="s">
        <v>2291</v>
      </c>
      <c r="K129" s="238">
        <v>45446</v>
      </c>
      <c r="L129" s="108">
        <v>941.43000000000006</v>
      </c>
      <c r="M129" s="107">
        <f t="shared" si="4"/>
        <v>901.2</v>
      </c>
      <c r="N129" s="130"/>
      <c r="R129"/>
      <c r="S129"/>
      <c r="T129"/>
      <c r="U129"/>
    </row>
    <row r="130" spans="1:21" ht="84">
      <c r="A130" s="187" t="s">
        <v>2111</v>
      </c>
      <c r="B130" s="165" t="s">
        <v>1057</v>
      </c>
      <c r="C130" s="373" t="s">
        <v>167</v>
      </c>
      <c r="D130" s="180" t="s">
        <v>2325</v>
      </c>
      <c r="E130" s="238">
        <v>45411</v>
      </c>
      <c r="F130" s="108">
        <v>498.56</v>
      </c>
      <c r="G130" s="180" t="s">
        <v>2290</v>
      </c>
      <c r="H130" s="238">
        <v>45446</v>
      </c>
      <c r="I130" s="108">
        <v>505.4</v>
      </c>
      <c r="J130" s="180" t="s">
        <v>2291</v>
      </c>
      <c r="K130" s="238">
        <v>45446</v>
      </c>
      <c r="L130" s="108">
        <v>523.48800000000006</v>
      </c>
      <c r="M130" s="107">
        <f t="shared" si="4"/>
        <v>505.4</v>
      </c>
      <c r="N130" s="130"/>
      <c r="R130"/>
      <c r="S130"/>
      <c r="T130"/>
      <c r="U130"/>
    </row>
    <row r="131" spans="1:21" ht="84">
      <c r="A131" s="187" t="s">
        <v>2112</v>
      </c>
      <c r="B131" s="165" t="s">
        <v>1060</v>
      </c>
      <c r="C131" s="373" t="s">
        <v>167</v>
      </c>
      <c r="D131" s="180" t="s">
        <v>2325</v>
      </c>
      <c r="E131" s="238">
        <v>45411</v>
      </c>
      <c r="F131" s="108">
        <v>390.79</v>
      </c>
      <c r="G131" s="180" t="s">
        <v>2290</v>
      </c>
      <c r="H131" s="238">
        <v>45446</v>
      </c>
      <c r="I131" s="108">
        <v>401.98</v>
      </c>
      <c r="J131" s="180" t="s">
        <v>2291</v>
      </c>
      <c r="K131" s="238">
        <v>45446</v>
      </c>
      <c r="L131" s="108">
        <v>410.32950000000005</v>
      </c>
      <c r="M131" s="107">
        <f t="shared" si="4"/>
        <v>401.98</v>
      </c>
      <c r="N131" s="130"/>
      <c r="R131"/>
      <c r="S131"/>
      <c r="T131"/>
      <c r="U131"/>
    </row>
    <row r="132" spans="1:21" ht="24">
      <c r="A132" s="187" t="s">
        <v>2113</v>
      </c>
      <c r="B132" s="165" t="s">
        <v>1063</v>
      </c>
      <c r="C132" s="373" t="s">
        <v>167</v>
      </c>
      <c r="D132" s="180" t="s">
        <v>2326</v>
      </c>
      <c r="E132" s="238">
        <v>45443</v>
      </c>
      <c r="F132" s="108">
        <v>247.01</v>
      </c>
      <c r="G132" s="180" t="s">
        <v>2290</v>
      </c>
      <c r="H132" s="238">
        <v>45446</v>
      </c>
      <c r="I132" s="108">
        <v>265.89</v>
      </c>
      <c r="J132" s="180" t="s">
        <v>2291</v>
      </c>
      <c r="K132" s="238">
        <v>45446</v>
      </c>
      <c r="L132" s="108">
        <v>259.3605</v>
      </c>
      <c r="M132" s="107">
        <f t="shared" si="4"/>
        <v>259.3605</v>
      </c>
      <c r="N132" s="130"/>
      <c r="R132"/>
      <c r="S132"/>
      <c r="T132"/>
      <c r="U132"/>
    </row>
    <row r="133" spans="1:21" ht="24">
      <c r="A133" s="187" t="s">
        <v>2114</v>
      </c>
      <c r="B133" s="165" t="s">
        <v>1066</v>
      </c>
      <c r="C133" s="373" t="s">
        <v>167</v>
      </c>
      <c r="D133" s="180" t="s">
        <v>2327</v>
      </c>
      <c r="E133" s="238">
        <v>45443</v>
      </c>
      <c r="F133" s="108">
        <v>169.12</v>
      </c>
      <c r="G133" s="180" t="s">
        <v>2290</v>
      </c>
      <c r="H133" s="238">
        <v>45446</v>
      </c>
      <c r="I133" s="108">
        <v>170.89</v>
      </c>
      <c r="J133" s="180" t="s">
        <v>2291</v>
      </c>
      <c r="K133" s="238">
        <v>45446</v>
      </c>
      <c r="L133" s="108">
        <v>177.57600000000002</v>
      </c>
      <c r="M133" s="107">
        <f t="shared" si="4"/>
        <v>170.89</v>
      </c>
      <c r="N133" s="130"/>
      <c r="R133"/>
      <c r="S133"/>
      <c r="T133"/>
      <c r="U133"/>
    </row>
    <row r="134" spans="1:21" ht="84">
      <c r="A134" s="187" t="s">
        <v>2115</v>
      </c>
      <c r="B134" s="165" t="s">
        <v>1071</v>
      </c>
      <c r="C134" s="373" t="s">
        <v>167</v>
      </c>
      <c r="D134" s="180" t="s">
        <v>2325</v>
      </c>
      <c r="E134" s="238">
        <v>45411</v>
      </c>
      <c r="F134" s="108">
        <v>320.73</v>
      </c>
      <c r="G134" s="180" t="s">
        <v>2290</v>
      </c>
      <c r="H134" s="238">
        <v>45446</v>
      </c>
      <c r="I134" s="108">
        <v>340.89</v>
      </c>
      <c r="J134" s="180" t="s">
        <v>2291</v>
      </c>
      <c r="K134" s="238">
        <v>45446</v>
      </c>
      <c r="L134" s="108">
        <v>336.76650000000001</v>
      </c>
      <c r="M134" s="107">
        <f t="shared" si="4"/>
        <v>336.76650000000001</v>
      </c>
      <c r="N134" s="130"/>
      <c r="R134"/>
      <c r="S134"/>
      <c r="T134"/>
      <c r="U134"/>
    </row>
    <row r="135" spans="1:21" ht="84">
      <c r="A135" s="187" t="s">
        <v>2117</v>
      </c>
      <c r="B135" s="165" t="s">
        <v>1074</v>
      </c>
      <c r="C135" s="373" t="s">
        <v>167</v>
      </c>
      <c r="D135" s="180" t="s">
        <v>2325</v>
      </c>
      <c r="E135" s="238">
        <v>45411</v>
      </c>
      <c r="F135" s="108">
        <v>390.79</v>
      </c>
      <c r="G135" s="180" t="s">
        <v>2290</v>
      </c>
      <c r="H135" s="238">
        <v>45446</v>
      </c>
      <c r="I135" s="108">
        <v>399.89</v>
      </c>
      <c r="J135" s="180" t="s">
        <v>2291</v>
      </c>
      <c r="K135" s="238">
        <v>45446</v>
      </c>
      <c r="L135" s="108">
        <v>410.32950000000005</v>
      </c>
      <c r="M135" s="107">
        <f t="shared" si="4"/>
        <v>399.89</v>
      </c>
      <c r="N135" s="130"/>
      <c r="R135"/>
      <c r="S135"/>
      <c r="T135"/>
      <c r="U135"/>
    </row>
    <row r="136" spans="1:21" ht="84">
      <c r="A136" s="187" t="s">
        <v>2118</v>
      </c>
      <c r="B136" s="165" t="s">
        <v>1079</v>
      </c>
      <c r="C136" s="373" t="s">
        <v>167</v>
      </c>
      <c r="D136" s="180" t="s">
        <v>2325</v>
      </c>
      <c r="E136" s="238">
        <v>45411</v>
      </c>
      <c r="F136" s="108">
        <v>3233.8</v>
      </c>
      <c r="G136" s="180" t="s">
        <v>2290</v>
      </c>
      <c r="H136" s="238">
        <v>45446</v>
      </c>
      <c r="I136" s="108">
        <v>3320.7</v>
      </c>
      <c r="J136" s="180" t="s">
        <v>2291</v>
      </c>
      <c r="K136" s="238">
        <v>45446</v>
      </c>
      <c r="L136" s="108">
        <v>3427.8280000000004</v>
      </c>
      <c r="M136" s="107">
        <f t="shared" si="4"/>
        <v>3320.7</v>
      </c>
      <c r="N136" s="130"/>
      <c r="R136"/>
      <c r="S136"/>
      <c r="T136"/>
      <c r="U136"/>
    </row>
    <row r="137" spans="1:21" ht="84">
      <c r="A137" s="187" t="s">
        <v>2119</v>
      </c>
      <c r="B137" s="165" t="s">
        <v>1082</v>
      </c>
      <c r="C137" s="373" t="s">
        <v>167</v>
      </c>
      <c r="D137" s="180" t="s">
        <v>2325</v>
      </c>
      <c r="E137" s="238">
        <v>45411</v>
      </c>
      <c r="F137" s="108">
        <v>3843.05</v>
      </c>
      <c r="G137" s="180" t="s">
        <v>2290</v>
      </c>
      <c r="H137" s="238">
        <v>45446</v>
      </c>
      <c r="I137" s="108">
        <v>3900</v>
      </c>
      <c r="J137" s="180" t="s">
        <v>2291</v>
      </c>
      <c r="K137" s="238">
        <v>45446</v>
      </c>
      <c r="L137" s="108">
        <v>4073.6330000000003</v>
      </c>
      <c r="M137" s="107">
        <f t="shared" si="4"/>
        <v>3900</v>
      </c>
      <c r="N137" s="130"/>
      <c r="R137"/>
      <c r="S137"/>
      <c r="T137"/>
      <c r="U137"/>
    </row>
    <row r="138" spans="1:21" ht="84">
      <c r="A138" s="187" t="s">
        <v>2120</v>
      </c>
      <c r="B138" s="165" t="s">
        <v>1085</v>
      </c>
      <c r="C138" s="373" t="s">
        <v>167</v>
      </c>
      <c r="D138" s="180" t="s">
        <v>2325</v>
      </c>
      <c r="E138" s="238">
        <v>45411</v>
      </c>
      <c r="F138" s="108">
        <v>3438.91</v>
      </c>
      <c r="G138" s="180" t="s">
        <v>2290</v>
      </c>
      <c r="H138" s="238">
        <v>45446</v>
      </c>
      <c r="I138" s="108">
        <v>3500</v>
      </c>
      <c r="J138" s="180" t="s">
        <v>2291</v>
      </c>
      <c r="K138" s="238">
        <v>45446</v>
      </c>
      <c r="L138" s="108">
        <v>3645.2446</v>
      </c>
      <c r="M138" s="107">
        <f t="shared" si="4"/>
        <v>3500</v>
      </c>
      <c r="N138" s="130"/>
      <c r="R138"/>
      <c r="S138"/>
      <c r="T138"/>
      <c r="U138"/>
    </row>
    <row r="139" spans="1:21" ht="84">
      <c r="A139" s="187" t="s">
        <v>2121</v>
      </c>
      <c r="B139" s="165" t="s">
        <v>1088</v>
      </c>
      <c r="C139" s="373" t="s">
        <v>167</v>
      </c>
      <c r="D139" s="180" t="s">
        <v>2325</v>
      </c>
      <c r="E139" s="238">
        <v>45411</v>
      </c>
      <c r="F139" s="108">
        <v>2823.57</v>
      </c>
      <c r="G139" s="180" t="s">
        <v>2290</v>
      </c>
      <c r="H139" s="238">
        <v>45446</v>
      </c>
      <c r="I139" s="108">
        <v>2900</v>
      </c>
      <c r="J139" s="180" t="s">
        <v>2291</v>
      </c>
      <c r="K139" s="238">
        <v>45446</v>
      </c>
      <c r="L139" s="108">
        <v>2992.9842000000003</v>
      </c>
      <c r="M139" s="107">
        <f t="shared" si="4"/>
        <v>2900</v>
      </c>
      <c r="N139" s="130"/>
      <c r="R139"/>
      <c r="S139"/>
      <c r="T139"/>
      <c r="U139"/>
    </row>
    <row r="140" spans="1:21" ht="24">
      <c r="A140" s="187" t="s">
        <v>2122</v>
      </c>
      <c r="B140" s="165" t="s">
        <v>1093</v>
      </c>
      <c r="C140" s="373" t="s">
        <v>167</v>
      </c>
      <c r="D140" s="180" t="s">
        <v>2328</v>
      </c>
      <c r="E140" s="238">
        <v>45489</v>
      </c>
      <c r="F140" s="108">
        <v>64.2</v>
      </c>
      <c r="G140" s="180" t="s">
        <v>2290</v>
      </c>
      <c r="H140" s="238">
        <v>45489</v>
      </c>
      <c r="I140" s="108">
        <v>49.47</v>
      </c>
      <c r="J140" s="180" t="s">
        <v>2329</v>
      </c>
      <c r="K140" s="238">
        <v>45489</v>
      </c>
      <c r="L140" s="108">
        <v>32.24</v>
      </c>
      <c r="M140" s="107">
        <f t="shared" si="4"/>
        <v>49.47</v>
      </c>
      <c r="N140" s="130"/>
      <c r="R140"/>
      <c r="S140"/>
      <c r="T140"/>
      <c r="U140"/>
    </row>
    <row r="141" spans="1:21" ht="24">
      <c r="A141" s="187" t="s">
        <v>2123</v>
      </c>
      <c r="B141" s="165" t="s">
        <v>1096</v>
      </c>
      <c r="C141" s="373" t="s">
        <v>167</v>
      </c>
      <c r="D141" s="180" t="s">
        <v>2328</v>
      </c>
      <c r="E141" s="238">
        <v>45489</v>
      </c>
      <c r="F141" s="108">
        <v>66.209999999999994</v>
      </c>
      <c r="G141" s="180" t="s">
        <v>2290</v>
      </c>
      <c r="H141" s="238">
        <v>45489</v>
      </c>
      <c r="I141" s="108">
        <v>36.770000000000003</v>
      </c>
      <c r="J141" s="180" t="s">
        <v>2329</v>
      </c>
      <c r="K141" s="238">
        <v>45489</v>
      </c>
      <c r="L141" s="108">
        <v>26.01</v>
      </c>
      <c r="M141" s="107">
        <f t="shared" si="4"/>
        <v>36.770000000000003</v>
      </c>
      <c r="N141" s="130"/>
      <c r="R141"/>
      <c r="S141"/>
      <c r="T141"/>
      <c r="U141"/>
    </row>
    <row r="142" spans="1:21" ht="24">
      <c r="A142" s="187" t="s">
        <v>2124</v>
      </c>
      <c r="B142" s="165" t="s">
        <v>1099</v>
      </c>
      <c r="C142" s="373" t="s">
        <v>167</v>
      </c>
      <c r="D142" s="180" t="s">
        <v>2328</v>
      </c>
      <c r="E142" s="238">
        <v>45489</v>
      </c>
      <c r="F142" s="108">
        <v>51.08</v>
      </c>
      <c r="G142" s="180" t="s">
        <v>2290</v>
      </c>
      <c r="H142" s="238">
        <v>45489</v>
      </c>
      <c r="I142" s="108">
        <v>29.28</v>
      </c>
      <c r="J142" s="180" t="s">
        <v>2329</v>
      </c>
      <c r="K142" s="238">
        <v>45489</v>
      </c>
      <c r="L142" s="108">
        <v>20.27</v>
      </c>
      <c r="M142" s="107">
        <f t="shared" si="4"/>
        <v>29.28</v>
      </c>
      <c r="N142" s="130"/>
      <c r="R142"/>
      <c r="S142"/>
      <c r="T142"/>
      <c r="U142"/>
    </row>
    <row r="143" spans="1:21" ht="24">
      <c r="A143" s="187" t="s">
        <v>2125</v>
      </c>
      <c r="B143" s="165" t="s">
        <v>1102</v>
      </c>
      <c r="C143" s="373" t="s">
        <v>167</v>
      </c>
      <c r="D143" s="180" t="s">
        <v>2328</v>
      </c>
      <c r="E143" s="238">
        <v>45489</v>
      </c>
      <c r="F143" s="108">
        <v>49.43</v>
      </c>
      <c r="G143" s="180" t="s">
        <v>2290</v>
      </c>
      <c r="H143" s="238">
        <v>45489</v>
      </c>
      <c r="I143" s="108">
        <v>24.19</v>
      </c>
      <c r="J143" s="180" t="s">
        <v>2329</v>
      </c>
      <c r="K143" s="238">
        <v>45489</v>
      </c>
      <c r="L143" s="108">
        <v>17.5</v>
      </c>
      <c r="M143" s="107">
        <f t="shared" si="4"/>
        <v>24.19</v>
      </c>
      <c r="N143" s="130"/>
      <c r="R143"/>
      <c r="S143"/>
      <c r="T143"/>
      <c r="U143"/>
    </row>
    <row r="144" spans="1:21" ht="84">
      <c r="A144" s="187" t="s">
        <v>2126</v>
      </c>
      <c r="B144" s="165" t="s">
        <v>1107</v>
      </c>
      <c r="C144" s="373" t="s">
        <v>167</v>
      </c>
      <c r="D144" s="180" t="s">
        <v>2325</v>
      </c>
      <c r="E144" s="238">
        <v>45427</v>
      </c>
      <c r="F144" s="108">
        <v>1053.19</v>
      </c>
      <c r="G144" s="180" t="s">
        <v>2290</v>
      </c>
      <c r="H144" s="238">
        <v>45446</v>
      </c>
      <c r="I144" s="108">
        <v>1100</v>
      </c>
      <c r="J144" s="180" t="s">
        <v>2291</v>
      </c>
      <c r="K144" s="238">
        <v>45446</v>
      </c>
      <c r="L144" s="108">
        <v>1000.5305</v>
      </c>
      <c r="M144" s="107">
        <f t="shared" si="4"/>
        <v>1053.19</v>
      </c>
      <c r="N144" s="130"/>
      <c r="R144"/>
      <c r="S144"/>
      <c r="T144"/>
      <c r="U144"/>
    </row>
    <row r="145" spans="1:21" ht="24">
      <c r="A145" s="187" t="s">
        <v>2127</v>
      </c>
      <c r="B145" s="165" t="s">
        <v>1112</v>
      </c>
      <c r="C145" s="373" t="s">
        <v>167</v>
      </c>
      <c r="D145" s="180" t="s">
        <v>2330</v>
      </c>
      <c r="E145" s="238">
        <v>45443</v>
      </c>
      <c r="F145" s="108">
        <v>89.82</v>
      </c>
      <c r="G145" s="180" t="s">
        <v>2290</v>
      </c>
      <c r="H145" s="238">
        <v>45446</v>
      </c>
      <c r="I145" s="108">
        <v>99</v>
      </c>
      <c r="J145" s="180" t="s">
        <v>2291</v>
      </c>
      <c r="K145" s="238">
        <v>45446</v>
      </c>
      <c r="L145" s="108">
        <v>92.514600000000002</v>
      </c>
      <c r="M145" s="107">
        <f t="shared" si="4"/>
        <v>92.514600000000002</v>
      </c>
      <c r="N145" s="130"/>
      <c r="R145"/>
      <c r="S145"/>
      <c r="T145"/>
      <c r="U145"/>
    </row>
    <row r="146" spans="1:21" ht="84">
      <c r="A146" s="187" t="s">
        <v>2128</v>
      </c>
      <c r="B146" s="165" t="s">
        <v>1117</v>
      </c>
      <c r="C146" s="373" t="s">
        <v>167</v>
      </c>
      <c r="D146" s="180" t="s">
        <v>2325</v>
      </c>
      <c r="E146" s="238">
        <v>45427</v>
      </c>
      <c r="F146" s="108">
        <v>482.89</v>
      </c>
      <c r="G146" s="180" t="s">
        <v>2290</v>
      </c>
      <c r="H146" s="238">
        <v>45446</v>
      </c>
      <c r="I146" s="108">
        <v>490</v>
      </c>
      <c r="J146" s="180" t="s">
        <v>2291</v>
      </c>
      <c r="K146" s="238">
        <v>45446</v>
      </c>
      <c r="L146" s="108">
        <v>458.74549999999999</v>
      </c>
      <c r="M146" s="107">
        <f t="shared" si="4"/>
        <v>482.89</v>
      </c>
      <c r="N146" s="130"/>
      <c r="R146"/>
      <c r="S146"/>
      <c r="T146"/>
      <c r="U146"/>
    </row>
    <row r="147" spans="1:21" ht="84.95" customHeight="1">
      <c r="A147" s="187" t="s">
        <v>2130</v>
      </c>
      <c r="B147" s="165" t="s">
        <v>2129</v>
      </c>
      <c r="C147" s="373" t="s">
        <v>167</v>
      </c>
      <c r="D147" s="180" t="s">
        <v>2325</v>
      </c>
      <c r="E147" s="238">
        <v>45427</v>
      </c>
      <c r="F147" s="108">
        <v>10262.32</v>
      </c>
      <c r="G147" s="180" t="s">
        <v>2290</v>
      </c>
      <c r="H147" s="238">
        <v>45446</v>
      </c>
      <c r="I147" s="108">
        <v>9850</v>
      </c>
      <c r="J147" s="180" t="s">
        <v>2291</v>
      </c>
      <c r="K147" s="238">
        <v>45446</v>
      </c>
      <c r="L147" s="108">
        <v>9954.4503999999997</v>
      </c>
      <c r="M147" s="107">
        <f t="shared" si="4"/>
        <v>9954.4503999999997</v>
      </c>
      <c r="N147" s="130"/>
      <c r="R147"/>
      <c r="S147"/>
      <c r="T147"/>
      <c r="U147"/>
    </row>
    <row r="148" spans="1:21" ht="84.95" customHeight="1">
      <c r="A148" s="187" t="s">
        <v>2131</v>
      </c>
      <c r="B148" s="165" t="s">
        <v>2331</v>
      </c>
      <c r="C148" s="373" t="s">
        <v>167</v>
      </c>
      <c r="D148" s="180" t="s">
        <v>2332</v>
      </c>
      <c r="E148" s="238">
        <v>45427</v>
      </c>
      <c r="F148" s="108">
        <v>10551.55</v>
      </c>
      <c r="G148" s="180" t="s">
        <v>2290</v>
      </c>
      <c r="H148" s="238">
        <v>45446</v>
      </c>
      <c r="I148" s="108">
        <v>9900</v>
      </c>
      <c r="J148" s="180" t="s">
        <v>2291</v>
      </c>
      <c r="K148" s="238">
        <v>45446</v>
      </c>
      <c r="L148" s="108">
        <v>10235.003499999999</v>
      </c>
      <c r="M148" s="107">
        <f t="shared" si="4"/>
        <v>10235.003499999999</v>
      </c>
      <c r="N148" s="130"/>
      <c r="R148"/>
      <c r="S148"/>
      <c r="T148"/>
      <c r="U148"/>
    </row>
    <row r="149" spans="1:21" ht="84.95" customHeight="1">
      <c r="A149" s="187" t="s">
        <v>2133</v>
      </c>
      <c r="B149" s="165" t="s">
        <v>2132</v>
      </c>
      <c r="C149" s="373" t="s">
        <v>167</v>
      </c>
      <c r="D149" s="180" t="s">
        <v>2333</v>
      </c>
      <c r="E149" s="238">
        <v>45427</v>
      </c>
      <c r="F149" s="108">
        <v>10936.45</v>
      </c>
      <c r="G149" s="180" t="s">
        <v>2290</v>
      </c>
      <c r="H149" s="238">
        <v>45446</v>
      </c>
      <c r="I149" s="108">
        <v>11000</v>
      </c>
      <c r="J149" s="180" t="s">
        <v>2291</v>
      </c>
      <c r="K149" s="238">
        <v>45446</v>
      </c>
      <c r="L149" s="108">
        <v>10608.3565</v>
      </c>
      <c r="M149" s="107">
        <f t="shared" si="4"/>
        <v>10936.45</v>
      </c>
      <c r="N149" s="130"/>
      <c r="R149"/>
      <c r="S149"/>
      <c r="T149"/>
      <c r="U149"/>
    </row>
    <row r="150" spans="1:21" ht="84.95" customHeight="1">
      <c r="A150" s="187" t="s">
        <v>2135</v>
      </c>
      <c r="B150" s="165" t="s">
        <v>2134</v>
      </c>
      <c r="C150" s="373" t="s">
        <v>167</v>
      </c>
      <c r="D150" s="180" t="s">
        <v>2334</v>
      </c>
      <c r="E150" s="238">
        <v>45427</v>
      </c>
      <c r="F150" s="108">
        <v>6830.39</v>
      </c>
      <c r="G150" s="180" t="s">
        <v>2290</v>
      </c>
      <c r="H150" s="238">
        <v>45446</v>
      </c>
      <c r="I150" s="108">
        <v>6900</v>
      </c>
      <c r="J150" s="180" t="s">
        <v>2291</v>
      </c>
      <c r="K150" s="238">
        <v>45446</v>
      </c>
      <c r="L150" s="108">
        <v>6625.4782999999998</v>
      </c>
      <c r="M150" s="107">
        <f t="shared" si="4"/>
        <v>6830.39</v>
      </c>
      <c r="N150" s="130"/>
      <c r="R150"/>
      <c r="S150"/>
      <c r="T150"/>
      <c r="U150"/>
    </row>
    <row r="151" spans="1:21" ht="84.95" customHeight="1">
      <c r="A151" s="187" t="s">
        <v>2137</v>
      </c>
      <c r="B151" s="165" t="s">
        <v>2136</v>
      </c>
      <c r="C151" s="373" t="s">
        <v>167</v>
      </c>
      <c r="D151" s="180" t="s">
        <v>2335</v>
      </c>
      <c r="E151" s="238">
        <v>45427</v>
      </c>
      <c r="F151" s="108">
        <v>7514.24</v>
      </c>
      <c r="G151" s="180" t="s">
        <v>2290</v>
      </c>
      <c r="H151" s="238">
        <v>45446</v>
      </c>
      <c r="I151" s="108">
        <v>7690</v>
      </c>
      <c r="J151" s="180" t="s">
        <v>2291</v>
      </c>
      <c r="K151" s="238">
        <v>45446</v>
      </c>
      <c r="L151" s="108">
        <v>7288.8127999999997</v>
      </c>
      <c r="M151" s="107">
        <f t="shared" si="4"/>
        <v>7514.24</v>
      </c>
      <c r="N151" s="130"/>
      <c r="R151"/>
      <c r="S151"/>
      <c r="T151"/>
      <c r="U151"/>
    </row>
    <row r="152" spans="1:21" ht="84.95" customHeight="1">
      <c r="A152" s="187" t="s">
        <v>2139</v>
      </c>
      <c r="B152" s="165" t="s">
        <v>2138</v>
      </c>
      <c r="C152" s="373" t="s">
        <v>167</v>
      </c>
      <c r="D152" s="180" t="s">
        <v>2336</v>
      </c>
      <c r="E152" s="238">
        <v>45427</v>
      </c>
      <c r="F152" s="108">
        <v>8578.84</v>
      </c>
      <c r="G152" s="180" t="s">
        <v>2290</v>
      </c>
      <c r="H152" s="238">
        <v>45446</v>
      </c>
      <c r="I152" s="108">
        <v>8690</v>
      </c>
      <c r="J152" s="180" t="s">
        <v>2291</v>
      </c>
      <c r="K152" s="238">
        <v>45446</v>
      </c>
      <c r="L152" s="108">
        <v>8321.4748</v>
      </c>
      <c r="M152" s="107">
        <f t="shared" si="4"/>
        <v>8578.84</v>
      </c>
      <c r="N152" s="130"/>
      <c r="R152"/>
      <c r="S152"/>
      <c r="T152"/>
      <c r="U152"/>
    </row>
    <row r="153" spans="1:21" ht="84.95" customHeight="1">
      <c r="A153" s="187" t="s">
        <v>2141</v>
      </c>
      <c r="B153" s="165" t="s">
        <v>2140</v>
      </c>
      <c r="C153" s="373" t="s">
        <v>167</v>
      </c>
      <c r="D153" s="180" t="s">
        <v>2337</v>
      </c>
      <c r="E153" s="238">
        <v>45427</v>
      </c>
      <c r="F153" s="108">
        <v>6980.81</v>
      </c>
      <c r="G153" s="180" t="s">
        <v>2290</v>
      </c>
      <c r="H153" s="238">
        <v>45446</v>
      </c>
      <c r="I153" s="108">
        <v>6990</v>
      </c>
      <c r="J153" s="180" t="s">
        <v>2291</v>
      </c>
      <c r="K153" s="238">
        <v>45446</v>
      </c>
      <c r="L153" s="108">
        <v>6771.3856999999998</v>
      </c>
      <c r="M153" s="107">
        <f t="shared" si="4"/>
        <v>6980.81</v>
      </c>
      <c r="N153" s="130"/>
      <c r="R153"/>
      <c r="S153"/>
      <c r="T153"/>
      <c r="U153"/>
    </row>
    <row r="154" spans="1:21" ht="84.95" customHeight="1">
      <c r="A154" s="187" t="s">
        <v>2143</v>
      </c>
      <c r="B154" s="165" t="s">
        <v>2142</v>
      </c>
      <c r="C154" s="373" t="s">
        <v>167</v>
      </c>
      <c r="D154" s="180" t="s">
        <v>2338</v>
      </c>
      <c r="E154" s="238">
        <v>45427</v>
      </c>
      <c r="F154" s="108">
        <v>6115.72</v>
      </c>
      <c r="G154" s="180" t="s">
        <v>2290</v>
      </c>
      <c r="H154" s="238">
        <v>45446</v>
      </c>
      <c r="I154" s="108">
        <v>6290</v>
      </c>
      <c r="J154" s="180" t="s">
        <v>2291</v>
      </c>
      <c r="K154" s="238">
        <v>45446</v>
      </c>
      <c r="L154" s="108">
        <v>5932.2484000000004</v>
      </c>
      <c r="M154" s="107">
        <f t="shared" si="4"/>
        <v>6115.72</v>
      </c>
      <c r="N154" s="130"/>
      <c r="R154"/>
      <c r="S154"/>
      <c r="T154"/>
      <c r="U154"/>
    </row>
    <row r="155" spans="1:21" ht="84.95" customHeight="1">
      <c r="A155" s="187" t="s">
        <v>2145</v>
      </c>
      <c r="B155" s="165" t="s">
        <v>2144</v>
      </c>
      <c r="C155" s="373" t="s">
        <v>167</v>
      </c>
      <c r="D155" s="180" t="s">
        <v>2339</v>
      </c>
      <c r="E155" s="238">
        <v>45427</v>
      </c>
      <c r="F155" s="108">
        <v>3702.2</v>
      </c>
      <c r="G155" s="180" t="s">
        <v>2290</v>
      </c>
      <c r="H155" s="238">
        <v>45446</v>
      </c>
      <c r="I155" s="108">
        <v>3900</v>
      </c>
      <c r="J155" s="180" t="s">
        <v>2291</v>
      </c>
      <c r="K155" s="238">
        <v>45446</v>
      </c>
      <c r="L155" s="108">
        <v>3591.1339999999996</v>
      </c>
      <c r="M155" s="107">
        <f t="shared" si="4"/>
        <v>3702.2</v>
      </c>
      <c r="N155" s="130"/>
      <c r="R155"/>
      <c r="S155"/>
      <c r="T155"/>
      <c r="U155"/>
    </row>
    <row r="156" spans="1:21" ht="84.95" customHeight="1">
      <c r="A156" s="187" t="s">
        <v>2147</v>
      </c>
      <c r="B156" s="165" t="s">
        <v>2146</v>
      </c>
      <c r="C156" s="373" t="s">
        <v>167</v>
      </c>
      <c r="D156" s="180" t="s">
        <v>2340</v>
      </c>
      <c r="E156" s="238">
        <v>45427</v>
      </c>
      <c r="F156" s="108">
        <v>7514.24</v>
      </c>
      <c r="G156" s="180" t="s">
        <v>2290</v>
      </c>
      <c r="H156" s="238">
        <v>45446</v>
      </c>
      <c r="I156" s="108">
        <v>7490</v>
      </c>
      <c r="J156" s="180" t="s">
        <v>2291</v>
      </c>
      <c r="K156" s="238">
        <v>45446</v>
      </c>
      <c r="L156" s="108">
        <v>7288.8127999999997</v>
      </c>
      <c r="M156" s="107">
        <f t="shared" si="4"/>
        <v>7490</v>
      </c>
      <c r="N156" s="130"/>
      <c r="R156"/>
      <c r="S156"/>
      <c r="T156"/>
      <c r="U156"/>
    </row>
    <row r="157" spans="1:21" ht="84.95" customHeight="1">
      <c r="A157" s="187" t="s">
        <v>2149</v>
      </c>
      <c r="B157" s="165" t="s">
        <v>2148</v>
      </c>
      <c r="C157" s="373" t="s">
        <v>167</v>
      </c>
      <c r="D157" s="180" t="s">
        <v>2341</v>
      </c>
      <c r="E157" s="238">
        <v>45427</v>
      </c>
      <c r="F157" s="108">
        <v>8578.84</v>
      </c>
      <c r="G157" s="180" t="s">
        <v>2290</v>
      </c>
      <c r="H157" s="238">
        <v>45446</v>
      </c>
      <c r="I157" s="108">
        <v>8490</v>
      </c>
      <c r="J157" s="180" t="s">
        <v>2291</v>
      </c>
      <c r="K157" s="238">
        <v>45446</v>
      </c>
      <c r="L157" s="108">
        <v>8321.4748</v>
      </c>
      <c r="M157" s="107">
        <f t="shared" si="4"/>
        <v>8490</v>
      </c>
      <c r="N157" s="130"/>
      <c r="R157"/>
      <c r="S157"/>
      <c r="T157"/>
      <c r="U157"/>
    </row>
    <row r="158" spans="1:21" ht="84.95" customHeight="1">
      <c r="A158" s="187" t="s">
        <v>2151</v>
      </c>
      <c r="B158" s="165" t="s">
        <v>2150</v>
      </c>
      <c r="C158" s="373" t="s">
        <v>167</v>
      </c>
      <c r="D158" s="180" t="s">
        <v>2342</v>
      </c>
      <c r="E158" s="238">
        <v>45427</v>
      </c>
      <c r="F158" s="108">
        <v>5319.06</v>
      </c>
      <c r="G158" s="180" t="s">
        <v>2290</v>
      </c>
      <c r="H158" s="238">
        <v>45446</v>
      </c>
      <c r="I158" s="108">
        <v>5420</v>
      </c>
      <c r="J158" s="180" t="s">
        <v>2291</v>
      </c>
      <c r="K158" s="238">
        <v>45446</v>
      </c>
      <c r="L158" s="108">
        <v>5159.4882000000007</v>
      </c>
      <c r="M158" s="107">
        <f t="shared" ref="M158:M168" si="5">MEDIAN(F158,I158,L158)</f>
        <v>5319.06</v>
      </c>
      <c r="N158" s="130"/>
      <c r="R158"/>
      <c r="S158"/>
      <c r="T158"/>
      <c r="U158"/>
    </row>
    <row r="159" spans="1:21" ht="84.95" customHeight="1">
      <c r="A159" s="187" t="s">
        <v>2153</v>
      </c>
      <c r="B159" s="165" t="s">
        <v>2152</v>
      </c>
      <c r="C159" s="373" t="s">
        <v>167</v>
      </c>
      <c r="D159" s="180" t="s">
        <v>2343</v>
      </c>
      <c r="E159" s="238">
        <v>45427</v>
      </c>
      <c r="F159" s="108">
        <v>6115.72</v>
      </c>
      <c r="G159" s="180" t="s">
        <v>2290</v>
      </c>
      <c r="H159" s="238">
        <v>45446</v>
      </c>
      <c r="I159" s="108">
        <v>6000.99</v>
      </c>
      <c r="J159" s="180" t="s">
        <v>2291</v>
      </c>
      <c r="K159" s="238">
        <v>45446</v>
      </c>
      <c r="L159" s="108">
        <v>5932.2484000000004</v>
      </c>
      <c r="M159" s="107">
        <f t="shared" si="5"/>
        <v>6000.99</v>
      </c>
      <c r="N159" s="130"/>
      <c r="R159"/>
      <c r="S159"/>
      <c r="T159"/>
      <c r="U159"/>
    </row>
    <row r="160" spans="1:21" ht="84.95" customHeight="1">
      <c r="A160" s="187" t="s">
        <v>2155</v>
      </c>
      <c r="B160" s="165" t="s">
        <v>2154</v>
      </c>
      <c r="C160" s="373" t="s">
        <v>167</v>
      </c>
      <c r="D160" s="180" t="s">
        <v>2344</v>
      </c>
      <c r="E160" s="238">
        <v>45427</v>
      </c>
      <c r="F160" s="108">
        <v>6115.72</v>
      </c>
      <c r="G160" s="180" t="s">
        <v>2290</v>
      </c>
      <c r="H160" s="238">
        <v>45446</v>
      </c>
      <c r="I160" s="108">
        <v>6000.99</v>
      </c>
      <c r="J160" s="180" t="s">
        <v>2291</v>
      </c>
      <c r="K160" s="238">
        <v>45446</v>
      </c>
      <c r="L160" s="108">
        <v>5932.2484000000004</v>
      </c>
      <c r="M160" s="107">
        <f t="shared" si="5"/>
        <v>6000.99</v>
      </c>
      <c r="N160" s="130"/>
      <c r="R160"/>
      <c r="S160"/>
      <c r="T160"/>
      <c r="U160"/>
    </row>
    <row r="161" spans="1:21" ht="60">
      <c r="A161" s="187" t="s">
        <v>2156</v>
      </c>
      <c r="B161" s="165" t="s">
        <v>2345</v>
      </c>
      <c r="C161" s="373" t="s">
        <v>167</v>
      </c>
      <c r="D161" s="180" t="s">
        <v>2318</v>
      </c>
      <c r="E161" s="238">
        <v>45411</v>
      </c>
      <c r="F161" s="108">
        <v>2675.54</v>
      </c>
      <c r="G161" s="180" t="s">
        <v>2290</v>
      </c>
      <c r="H161" s="238">
        <v>45446</v>
      </c>
      <c r="I161" s="108">
        <v>2750.9</v>
      </c>
      <c r="J161" s="180" t="s">
        <v>2291</v>
      </c>
      <c r="K161" s="238">
        <v>45446</v>
      </c>
      <c r="L161" s="108">
        <v>2943.0940000000001</v>
      </c>
      <c r="M161" s="107">
        <f t="shared" si="5"/>
        <v>2750.9</v>
      </c>
      <c r="N161" s="130"/>
      <c r="R161"/>
      <c r="S161"/>
      <c r="T161"/>
      <c r="U161"/>
    </row>
    <row r="162" spans="1:21" ht="60">
      <c r="A162" s="187" t="s">
        <v>2158</v>
      </c>
      <c r="B162" s="165" t="s">
        <v>1165</v>
      </c>
      <c r="C162" s="373" t="s">
        <v>167</v>
      </c>
      <c r="D162" s="180" t="s">
        <v>2318</v>
      </c>
      <c r="E162" s="238">
        <v>45411</v>
      </c>
      <c r="F162" s="108">
        <v>2812.1</v>
      </c>
      <c r="G162" s="180" t="s">
        <v>2290</v>
      </c>
      <c r="H162" s="238">
        <v>45446</v>
      </c>
      <c r="I162" s="108">
        <v>2990.9</v>
      </c>
      <c r="J162" s="180" t="s">
        <v>2291</v>
      </c>
      <c r="K162" s="238">
        <v>45446</v>
      </c>
      <c r="L162" s="108">
        <v>3093.31</v>
      </c>
      <c r="M162" s="107">
        <f t="shared" si="5"/>
        <v>2990.9</v>
      </c>
      <c r="N162" s="130"/>
      <c r="R162"/>
      <c r="S162"/>
      <c r="T162"/>
      <c r="U162"/>
    </row>
    <row r="163" spans="1:21" ht="24">
      <c r="A163" s="187" t="s">
        <v>2172</v>
      </c>
      <c r="B163" s="165" t="s">
        <v>1183</v>
      </c>
      <c r="C163" s="373" t="s">
        <v>150</v>
      </c>
      <c r="D163" s="180" t="s">
        <v>2330</v>
      </c>
      <c r="E163" s="238">
        <v>45443</v>
      </c>
      <c r="F163" s="108">
        <v>504.99</v>
      </c>
      <c r="G163" s="180" t="s">
        <v>2290</v>
      </c>
      <c r="H163" s="238">
        <v>45446</v>
      </c>
      <c r="I163" s="108">
        <v>499</v>
      </c>
      <c r="J163" s="180" t="s">
        <v>2291</v>
      </c>
      <c r="K163" s="238">
        <v>45446</v>
      </c>
      <c r="L163" s="108">
        <v>474.69059999999996</v>
      </c>
      <c r="M163" s="107">
        <f t="shared" si="5"/>
        <v>499</v>
      </c>
      <c r="N163" s="130"/>
      <c r="R163"/>
      <c r="S163"/>
      <c r="T163"/>
      <c r="U163"/>
    </row>
    <row r="164" spans="1:21" ht="48">
      <c r="A164" s="187" t="s">
        <v>2175</v>
      </c>
      <c r="B164" s="165" t="s">
        <v>1855</v>
      </c>
      <c r="C164" s="373" t="s">
        <v>180</v>
      </c>
      <c r="D164" s="180" t="s">
        <v>2328</v>
      </c>
      <c r="E164" s="238">
        <v>45443</v>
      </c>
      <c r="F164" s="108">
        <v>302.39</v>
      </c>
      <c r="G164" s="180" t="s">
        <v>2290</v>
      </c>
      <c r="H164" s="238">
        <v>45446</v>
      </c>
      <c r="I164" s="108">
        <v>299</v>
      </c>
      <c r="J164" s="180" t="s">
        <v>2291</v>
      </c>
      <c r="K164" s="238">
        <v>45446</v>
      </c>
      <c r="L164" s="108">
        <v>284.24659999999994</v>
      </c>
      <c r="M164" s="107">
        <f t="shared" si="5"/>
        <v>299</v>
      </c>
      <c r="N164" s="130"/>
      <c r="R164"/>
      <c r="S164"/>
      <c r="T164"/>
      <c r="U164"/>
    </row>
    <row r="165" spans="1:21" ht="48">
      <c r="A165" s="187" t="s">
        <v>2177</v>
      </c>
      <c r="B165" s="165" t="s">
        <v>1857</v>
      </c>
      <c r="C165" s="373" t="s">
        <v>180</v>
      </c>
      <c r="D165" s="180" t="s">
        <v>2328</v>
      </c>
      <c r="E165" s="238">
        <v>45443</v>
      </c>
      <c r="F165" s="108">
        <v>246.97</v>
      </c>
      <c r="G165" s="180" t="s">
        <v>2290</v>
      </c>
      <c r="H165" s="238">
        <v>45446</v>
      </c>
      <c r="I165" s="108">
        <v>250</v>
      </c>
      <c r="J165" s="180" t="s">
        <v>2291</v>
      </c>
      <c r="K165" s="238">
        <v>45446</v>
      </c>
      <c r="L165" s="108">
        <v>232.15179999999998</v>
      </c>
      <c r="M165" s="107">
        <f t="shared" si="5"/>
        <v>246.97</v>
      </c>
      <c r="N165" s="130"/>
      <c r="R165"/>
      <c r="S165"/>
      <c r="T165"/>
      <c r="U165"/>
    </row>
    <row r="166" spans="1:21" ht="48">
      <c r="A166" s="187" t="s">
        <v>2178</v>
      </c>
      <c r="B166" s="165" t="s">
        <v>1859</v>
      </c>
      <c r="C166" s="373" t="s">
        <v>180</v>
      </c>
      <c r="D166" s="180" t="s">
        <v>2328</v>
      </c>
      <c r="E166" s="238">
        <v>45443</v>
      </c>
      <c r="F166" s="108">
        <v>195.89</v>
      </c>
      <c r="G166" s="180" t="s">
        <v>2290</v>
      </c>
      <c r="H166" s="238">
        <v>45446</v>
      </c>
      <c r="I166" s="108">
        <v>200</v>
      </c>
      <c r="J166" s="180" t="s">
        <v>2291</v>
      </c>
      <c r="K166" s="238">
        <v>45446</v>
      </c>
      <c r="L166" s="108">
        <v>184.13659999999999</v>
      </c>
      <c r="M166" s="107">
        <f t="shared" si="5"/>
        <v>195.89</v>
      </c>
      <c r="N166" s="130"/>
      <c r="R166"/>
      <c r="S166"/>
      <c r="T166"/>
      <c r="U166"/>
    </row>
    <row r="167" spans="1:21" ht="60">
      <c r="A167" s="187" t="s">
        <v>2180</v>
      </c>
      <c r="B167" s="165" t="s">
        <v>2346</v>
      </c>
      <c r="C167" s="373" t="s">
        <v>167</v>
      </c>
      <c r="D167" s="180" t="s">
        <v>2328</v>
      </c>
      <c r="E167" s="238">
        <v>45443</v>
      </c>
      <c r="F167" s="108">
        <v>4234.24</v>
      </c>
      <c r="G167" s="180" t="s">
        <v>2290</v>
      </c>
      <c r="H167" s="238">
        <v>45446</v>
      </c>
      <c r="I167" s="108">
        <v>4152.9799999999996</v>
      </c>
      <c r="J167" s="180" t="s">
        <v>2291</v>
      </c>
      <c r="K167" s="238">
        <v>45446</v>
      </c>
      <c r="L167" s="108">
        <v>3980.1855999999998</v>
      </c>
      <c r="M167" s="107">
        <f t="shared" si="5"/>
        <v>4152.9799999999996</v>
      </c>
      <c r="N167" s="130"/>
      <c r="R167"/>
      <c r="S167"/>
      <c r="T167"/>
      <c r="U167"/>
    </row>
    <row r="168" spans="1:21" ht="36">
      <c r="A168" s="187" t="s">
        <v>2181</v>
      </c>
      <c r="B168" s="165" t="s">
        <v>1200</v>
      </c>
      <c r="C168" s="373" t="s">
        <v>167</v>
      </c>
      <c r="D168" s="180" t="s">
        <v>2330</v>
      </c>
      <c r="E168" s="238">
        <v>45443</v>
      </c>
      <c r="F168" s="108">
        <v>1034.0999999999999</v>
      </c>
      <c r="G168" s="180" t="s">
        <v>2290</v>
      </c>
      <c r="H168" s="238">
        <v>45446</v>
      </c>
      <c r="I168" s="108">
        <v>1130.8900000000001</v>
      </c>
      <c r="J168" s="180" t="s">
        <v>2291</v>
      </c>
      <c r="K168" s="238">
        <v>45446</v>
      </c>
      <c r="L168" s="108">
        <v>1189.2149999999997</v>
      </c>
      <c r="M168" s="107">
        <f t="shared" si="5"/>
        <v>1130.8900000000001</v>
      </c>
      <c r="N168" s="130"/>
      <c r="R168"/>
      <c r="S168"/>
      <c r="T168"/>
      <c r="U168"/>
    </row>
    <row r="169" spans="1:21" ht="15">
      <c r="A169" s="187" t="s">
        <v>2347</v>
      </c>
      <c r="B169" s="165" t="s">
        <v>2348</v>
      </c>
      <c r="C169" s="373" t="s">
        <v>167</v>
      </c>
      <c r="D169" s="180" t="s">
        <v>2349</v>
      </c>
      <c r="E169" s="238">
        <v>45443</v>
      </c>
      <c r="F169" s="108">
        <v>1989</v>
      </c>
      <c r="G169" s="180" t="s">
        <v>2350</v>
      </c>
      <c r="H169" s="238">
        <v>45447</v>
      </c>
      <c r="I169" s="108">
        <v>2024.9</v>
      </c>
      <c r="J169" s="180" t="s">
        <v>2351</v>
      </c>
      <c r="K169" s="238">
        <v>45447</v>
      </c>
      <c r="L169" s="108">
        <v>2452.34</v>
      </c>
      <c r="M169" s="107">
        <f t="shared" ref="M169" si="6">MEDIAN(F169,I169,L169)</f>
        <v>2024.9</v>
      </c>
      <c r="N169" s="130"/>
      <c r="R169"/>
      <c r="S169"/>
      <c r="T169"/>
      <c r="U169"/>
    </row>
    <row r="170" spans="1:21" ht="24">
      <c r="A170" s="187" t="s">
        <v>2352</v>
      </c>
      <c r="B170" s="165" t="s">
        <v>2353</v>
      </c>
      <c r="C170" s="373" t="s">
        <v>167</v>
      </c>
      <c r="D170" s="180" t="s">
        <v>2354</v>
      </c>
      <c r="E170" s="238">
        <v>45443</v>
      </c>
      <c r="F170" s="108">
        <v>4259.84</v>
      </c>
      <c r="G170" s="180" t="s">
        <v>2355</v>
      </c>
      <c r="H170" s="238">
        <v>45447</v>
      </c>
      <c r="I170" s="108">
        <v>7114.55</v>
      </c>
      <c r="J170" s="180" t="s">
        <v>2356</v>
      </c>
      <c r="K170" s="238">
        <v>45447</v>
      </c>
      <c r="L170" s="108">
        <v>8731.59</v>
      </c>
      <c r="M170" s="107">
        <f t="shared" ref="M170:M180" si="7">MEDIAN(F170,I170,L170)</f>
        <v>7114.55</v>
      </c>
      <c r="N170" s="130"/>
      <c r="R170"/>
      <c r="S170"/>
      <c r="T170"/>
      <c r="U170"/>
    </row>
    <row r="171" spans="1:21" ht="24" customHeight="1">
      <c r="A171" s="187" t="s">
        <v>2357</v>
      </c>
      <c r="B171" s="165" t="str">
        <f>'Composições - CCU'!C5581</f>
        <v>Curva 90º em PVC, cor marron para conexões soldáveis, Linha PBS conforme NBR 5648 - diâmetro = 8" Ref.: Tigre ou equivalente</v>
      </c>
      <c r="C171" s="373" t="s">
        <v>167</v>
      </c>
      <c r="D171" s="180" t="s">
        <v>2358</v>
      </c>
      <c r="E171" s="238">
        <v>45464</v>
      </c>
      <c r="F171" s="108">
        <v>570.04999999999995</v>
      </c>
      <c r="G171" s="180" t="s">
        <v>2290</v>
      </c>
      <c r="H171" s="238">
        <v>45446</v>
      </c>
      <c r="I171" s="108">
        <v>540.79999999999995</v>
      </c>
      <c r="J171" s="180" t="s">
        <v>2359</v>
      </c>
      <c r="K171" s="238">
        <v>45464</v>
      </c>
      <c r="L171" s="108">
        <v>421.19</v>
      </c>
      <c r="M171" s="107">
        <f t="shared" si="7"/>
        <v>540.79999999999995</v>
      </c>
      <c r="N171" s="130"/>
      <c r="R171"/>
      <c r="S171"/>
      <c r="T171"/>
      <c r="U171"/>
    </row>
    <row r="172" spans="1:21" ht="34.5" customHeight="1">
      <c r="A172" s="187" t="s">
        <v>2360</v>
      </c>
      <c r="B172" s="165" t="str">
        <f>'Composições - CCU'!C5605</f>
        <v>Flange com furos em PVC, cor marron para conexões soldáveis, Linha PBS conforme NBR 5648  Ref.: Tigre ou equivalente</v>
      </c>
      <c r="C172" s="373" t="s">
        <v>167</v>
      </c>
      <c r="D172" s="180" t="s">
        <v>2361</v>
      </c>
      <c r="E172" s="238">
        <v>45464</v>
      </c>
      <c r="F172" s="108">
        <v>741.9</v>
      </c>
      <c r="G172" s="180" t="s">
        <v>2290</v>
      </c>
      <c r="H172" s="238">
        <v>45446</v>
      </c>
      <c r="I172" s="108">
        <v>770.6</v>
      </c>
      <c r="J172" s="180" t="s">
        <v>2291</v>
      </c>
      <c r="K172" s="238">
        <v>45446</v>
      </c>
      <c r="L172" s="108">
        <v>728</v>
      </c>
      <c r="M172" s="107">
        <f t="shared" si="7"/>
        <v>741.9</v>
      </c>
      <c r="N172" s="130"/>
      <c r="R172"/>
      <c r="S172"/>
      <c r="T172"/>
      <c r="U172"/>
    </row>
    <row r="173" spans="1:21" ht="30" customHeight="1">
      <c r="A173" s="187" t="s">
        <v>2362</v>
      </c>
      <c r="B173" s="165" t="s">
        <v>2363</v>
      </c>
      <c r="C173" s="373" t="s">
        <v>167</v>
      </c>
      <c r="D173" s="180" t="s">
        <v>2364</v>
      </c>
      <c r="E173" s="238">
        <v>45467</v>
      </c>
      <c r="F173" s="108">
        <v>4130</v>
      </c>
      <c r="G173" s="180" t="s">
        <v>2365</v>
      </c>
      <c r="H173" s="238">
        <v>45488</v>
      </c>
      <c r="I173" s="108">
        <v>3220</v>
      </c>
      <c r="J173" s="180" t="s">
        <v>2366</v>
      </c>
      <c r="K173" s="238">
        <v>45488</v>
      </c>
      <c r="L173" s="108">
        <v>3300</v>
      </c>
      <c r="M173" s="107">
        <f t="shared" si="7"/>
        <v>3300</v>
      </c>
      <c r="N173" s="130"/>
      <c r="R173"/>
      <c r="S173"/>
      <c r="T173"/>
      <c r="U173"/>
    </row>
    <row r="174" spans="1:21" ht="15">
      <c r="A174" s="187" t="s">
        <v>2367</v>
      </c>
      <c r="B174" s="165" t="s">
        <v>2368</v>
      </c>
      <c r="C174" s="373" t="s">
        <v>167</v>
      </c>
      <c r="D174" s="180" t="s">
        <v>2364</v>
      </c>
      <c r="E174" s="238">
        <v>45467</v>
      </c>
      <c r="F174" s="108">
        <v>5470</v>
      </c>
      <c r="G174" s="180" t="s">
        <v>2365</v>
      </c>
      <c r="H174" s="238">
        <v>45488</v>
      </c>
      <c r="I174" s="108">
        <v>4880</v>
      </c>
      <c r="J174" s="180" t="s">
        <v>2366</v>
      </c>
      <c r="K174" s="238">
        <v>45488</v>
      </c>
      <c r="L174" s="108">
        <v>4930</v>
      </c>
      <c r="M174" s="107">
        <f t="shared" si="7"/>
        <v>4930</v>
      </c>
      <c r="N174" s="130"/>
      <c r="R174"/>
      <c r="S174"/>
      <c r="T174"/>
      <c r="U174"/>
    </row>
    <row r="175" spans="1:21" ht="15">
      <c r="A175" s="187" t="s">
        <v>2369</v>
      </c>
      <c r="B175" s="165" t="s">
        <v>2370</v>
      </c>
      <c r="C175" s="373" t="s">
        <v>167</v>
      </c>
      <c r="D175" s="180" t="s">
        <v>2364</v>
      </c>
      <c r="E175" s="238">
        <v>45467</v>
      </c>
      <c r="F175" s="108">
        <v>6940</v>
      </c>
      <c r="G175" s="180" t="s">
        <v>2365</v>
      </c>
      <c r="H175" s="238">
        <v>45488</v>
      </c>
      <c r="I175" s="108">
        <v>5530</v>
      </c>
      <c r="J175" s="180" t="s">
        <v>2366</v>
      </c>
      <c r="K175" s="238">
        <v>45488</v>
      </c>
      <c r="L175" s="108">
        <v>5300</v>
      </c>
      <c r="M175" s="107">
        <f t="shared" si="7"/>
        <v>5530</v>
      </c>
      <c r="N175" s="130"/>
      <c r="R175"/>
      <c r="S175"/>
      <c r="T175"/>
      <c r="U175"/>
    </row>
    <row r="176" spans="1:21">
      <c r="A176" s="187" t="s">
        <v>2371</v>
      </c>
      <c r="B176" s="165" t="s">
        <v>2372</v>
      </c>
      <c r="C176" s="373" t="s">
        <v>167</v>
      </c>
      <c r="D176" s="180" t="s">
        <v>2364</v>
      </c>
      <c r="E176" s="238">
        <v>45467</v>
      </c>
      <c r="F176" s="108">
        <v>7680</v>
      </c>
      <c r="G176" s="180" t="s">
        <v>2365</v>
      </c>
      <c r="H176" s="238">
        <v>45488</v>
      </c>
      <c r="I176" s="108">
        <v>5900</v>
      </c>
      <c r="J176" s="180" t="s">
        <v>2366</v>
      </c>
      <c r="K176" s="238">
        <v>45488</v>
      </c>
      <c r="L176" s="108">
        <v>6050</v>
      </c>
      <c r="M176" s="107">
        <f t="shared" si="7"/>
        <v>6050</v>
      </c>
      <c r="N176" s="131"/>
    </row>
    <row r="177" spans="1:14" ht="24">
      <c r="A177" s="187" t="s">
        <v>2373</v>
      </c>
      <c r="B177" s="165" t="s">
        <v>2374</v>
      </c>
      <c r="C177" s="373" t="s">
        <v>167</v>
      </c>
      <c r="D177" s="180" t="s">
        <v>2281</v>
      </c>
      <c r="E177" s="238">
        <v>45488</v>
      </c>
      <c r="F177" s="108">
        <v>274.72000000000003</v>
      </c>
      <c r="G177" s="180" t="s">
        <v>2355</v>
      </c>
      <c r="H177" s="238">
        <v>45488</v>
      </c>
      <c r="I177" s="108">
        <v>505.99</v>
      </c>
      <c r="J177" s="180" t="s">
        <v>2375</v>
      </c>
      <c r="K177" s="238">
        <v>45488</v>
      </c>
      <c r="L177" s="108">
        <v>645.70000000000005</v>
      </c>
      <c r="M177" s="107">
        <f t="shared" si="7"/>
        <v>505.99</v>
      </c>
      <c r="N177" s="131"/>
    </row>
    <row r="178" spans="1:14" ht="24">
      <c r="A178" s="187" t="s">
        <v>2173</v>
      </c>
      <c r="B178" s="165" t="s">
        <v>2376</v>
      </c>
      <c r="C178" s="373" t="s">
        <v>167</v>
      </c>
      <c r="D178" s="180" t="s">
        <v>2377</v>
      </c>
      <c r="E178" s="238">
        <v>45500</v>
      </c>
      <c r="F178" s="108">
        <v>136.38</v>
      </c>
      <c r="G178" s="180" t="s">
        <v>2378</v>
      </c>
      <c r="H178" s="238">
        <v>45500</v>
      </c>
      <c r="I178" s="108">
        <v>116.91</v>
      </c>
      <c r="J178" s="180" t="s">
        <v>2379</v>
      </c>
      <c r="K178" s="238">
        <v>45500</v>
      </c>
      <c r="L178" s="108">
        <v>133.4</v>
      </c>
      <c r="M178" s="107">
        <f t="shared" si="7"/>
        <v>133.4</v>
      </c>
      <c r="N178" s="502"/>
    </row>
    <row r="179" spans="1:14" ht="24">
      <c r="A179" s="187" t="s">
        <v>1968</v>
      </c>
      <c r="B179" s="165" t="s">
        <v>1972</v>
      </c>
      <c r="C179" s="373" t="s">
        <v>167</v>
      </c>
      <c r="D179" s="180" t="s">
        <v>2380</v>
      </c>
      <c r="E179" s="238">
        <v>45500</v>
      </c>
      <c r="F179" s="108">
        <v>587.44000000000005</v>
      </c>
      <c r="G179" s="180" t="s">
        <v>2381</v>
      </c>
      <c r="H179" s="238">
        <v>45500</v>
      </c>
      <c r="I179" s="108">
        <v>319.89999999999998</v>
      </c>
      <c r="J179" s="180" t="s">
        <v>2382</v>
      </c>
      <c r="K179" s="238">
        <v>45500</v>
      </c>
      <c r="L179" s="108">
        <v>406.02</v>
      </c>
      <c r="M179" s="107">
        <f t="shared" si="7"/>
        <v>406.02</v>
      </c>
      <c r="N179" s="502"/>
    </row>
    <row r="180" spans="1:14" ht="24">
      <c r="A180" s="187" t="s">
        <v>1975</v>
      </c>
      <c r="B180" s="165" t="s">
        <v>1976</v>
      </c>
      <c r="C180" s="373" t="s">
        <v>167</v>
      </c>
      <c r="D180" s="180" t="s">
        <v>2379</v>
      </c>
      <c r="E180" s="238">
        <v>45502</v>
      </c>
      <c r="F180" s="108">
        <v>1499.2</v>
      </c>
      <c r="G180" s="180" t="s">
        <v>2377</v>
      </c>
      <c r="H180" s="238">
        <v>45502</v>
      </c>
      <c r="I180" s="108">
        <v>1440.85</v>
      </c>
      <c r="J180" s="180" t="s">
        <v>2383</v>
      </c>
      <c r="K180" s="238">
        <v>45502</v>
      </c>
      <c r="L180" s="108">
        <v>1773.72</v>
      </c>
      <c r="M180" s="107">
        <f t="shared" si="7"/>
        <v>1499.2</v>
      </c>
      <c r="N180" s="502"/>
    </row>
    <row r="181" spans="1:14">
      <c r="A181" s="187" t="s">
        <v>1973</v>
      </c>
      <c r="B181" s="165" t="s">
        <v>1974</v>
      </c>
      <c r="C181" s="373" t="s">
        <v>167</v>
      </c>
      <c r="D181" s="180" t="s">
        <v>2384</v>
      </c>
      <c r="E181" s="238">
        <v>45502</v>
      </c>
      <c r="F181" s="108">
        <v>43.88</v>
      </c>
      <c r="G181" s="180" t="s">
        <v>2385</v>
      </c>
      <c r="H181" s="238">
        <v>45502</v>
      </c>
      <c r="I181" s="108">
        <v>16.46</v>
      </c>
      <c r="J181" s="180" t="s">
        <v>2386</v>
      </c>
      <c r="K181" s="238">
        <v>45502</v>
      </c>
      <c r="L181" s="108">
        <v>31.47</v>
      </c>
      <c r="M181" s="107">
        <f t="shared" ref="M181:M192" si="8">MEDIAN(F181,I181,L181)</f>
        <v>31.47</v>
      </c>
      <c r="N181" s="502"/>
    </row>
    <row r="182" spans="1:14" ht="36">
      <c r="A182" s="187" t="s">
        <v>2005</v>
      </c>
      <c r="B182" s="165" t="s">
        <v>2387</v>
      </c>
      <c r="C182" s="373" t="s">
        <v>180</v>
      </c>
      <c r="D182" s="180" t="s">
        <v>2388</v>
      </c>
      <c r="E182" s="238">
        <v>45503</v>
      </c>
      <c r="F182" s="108">
        <f>352.52/3</f>
        <v>117.50666666666666</v>
      </c>
      <c r="G182" s="180" t="s">
        <v>2290</v>
      </c>
      <c r="H182" s="238">
        <v>45502</v>
      </c>
      <c r="I182" s="108">
        <v>128.32</v>
      </c>
      <c r="J182" s="180" t="s">
        <v>2291</v>
      </c>
      <c r="K182" s="238">
        <v>45502</v>
      </c>
      <c r="L182" s="108">
        <v>130</v>
      </c>
      <c r="M182" s="107">
        <f t="shared" si="8"/>
        <v>128.32</v>
      </c>
      <c r="N182" s="502"/>
    </row>
    <row r="183" spans="1:14" ht="36">
      <c r="A183" s="187" t="s">
        <v>2010</v>
      </c>
      <c r="B183" s="165" t="s">
        <v>2389</v>
      </c>
      <c r="C183" s="373" t="s">
        <v>180</v>
      </c>
      <c r="D183" s="180" t="s">
        <v>2388</v>
      </c>
      <c r="E183" s="238">
        <v>45503</v>
      </c>
      <c r="F183" s="108">
        <f>3453.21/40</f>
        <v>86.330250000000007</v>
      </c>
      <c r="G183" s="180" t="s">
        <v>2290</v>
      </c>
      <c r="H183" s="238">
        <v>45502</v>
      </c>
      <c r="I183" s="108">
        <v>110.5</v>
      </c>
      <c r="J183" s="180" t="s">
        <v>2291</v>
      </c>
      <c r="K183" s="238">
        <v>45502</v>
      </c>
      <c r="L183" s="108">
        <v>105</v>
      </c>
      <c r="M183" s="107">
        <f t="shared" si="8"/>
        <v>105</v>
      </c>
      <c r="N183" s="502"/>
    </row>
    <row r="184" spans="1:14" ht="36">
      <c r="A184" s="187" t="s">
        <v>1999</v>
      </c>
      <c r="B184" s="165" t="s">
        <v>2390</v>
      </c>
      <c r="C184" s="373" t="s">
        <v>180</v>
      </c>
      <c r="D184" s="180" t="s">
        <v>2388</v>
      </c>
      <c r="E184" s="238">
        <v>45503</v>
      </c>
      <c r="F184" s="108">
        <f>3399.25/70</f>
        <v>48.560714285714283</v>
      </c>
      <c r="G184" s="180" t="s">
        <v>2290</v>
      </c>
      <c r="H184" s="238">
        <v>45502</v>
      </c>
      <c r="I184" s="108">
        <v>65.400000000000006</v>
      </c>
      <c r="J184" s="180" t="s">
        <v>2291</v>
      </c>
      <c r="K184" s="238">
        <v>45502</v>
      </c>
      <c r="L184" s="108">
        <v>63</v>
      </c>
      <c r="M184" s="107">
        <f t="shared" si="8"/>
        <v>63</v>
      </c>
      <c r="N184" s="502"/>
    </row>
    <row r="185" spans="1:14" ht="36">
      <c r="A185" s="187" t="s">
        <v>2018</v>
      </c>
      <c r="B185" s="165" t="s">
        <v>2391</v>
      </c>
      <c r="C185" s="373" t="s">
        <v>180</v>
      </c>
      <c r="D185" s="180" t="s">
        <v>2388</v>
      </c>
      <c r="E185" s="238">
        <v>45503</v>
      </c>
      <c r="F185" s="108">
        <f>3952.01/103</f>
        <v>38.369029126213597</v>
      </c>
      <c r="G185" s="180" t="s">
        <v>2290</v>
      </c>
      <c r="H185" s="238">
        <v>45502</v>
      </c>
      <c r="I185" s="108">
        <v>48</v>
      </c>
      <c r="J185" s="180" t="s">
        <v>2291</v>
      </c>
      <c r="K185" s="238">
        <v>45502</v>
      </c>
      <c r="L185" s="108">
        <v>50</v>
      </c>
      <c r="M185" s="107">
        <f t="shared" si="8"/>
        <v>48</v>
      </c>
      <c r="N185" s="502"/>
    </row>
    <row r="186" spans="1:14" ht="36">
      <c r="A186" s="187" t="s">
        <v>2001</v>
      </c>
      <c r="B186" s="165" t="s">
        <v>2392</v>
      </c>
      <c r="C186" s="373" t="s">
        <v>180</v>
      </c>
      <c r="D186" s="180" t="s">
        <v>2388</v>
      </c>
      <c r="E186" s="238">
        <v>45503</v>
      </c>
      <c r="F186" s="108">
        <f>1880.08/64</f>
        <v>29.376249999999999</v>
      </c>
      <c r="G186" s="180" t="s">
        <v>2290</v>
      </c>
      <c r="H186" s="238">
        <v>45502</v>
      </c>
      <c r="I186" s="108">
        <v>36.4</v>
      </c>
      <c r="J186" s="180" t="s">
        <v>2291</v>
      </c>
      <c r="K186" s="238">
        <v>45502</v>
      </c>
      <c r="L186" s="108">
        <v>35.5</v>
      </c>
      <c r="M186" s="107">
        <f t="shared" si="8"/>
        <v>35.5</v>
      </c>
      <c r="N186" s="502"/>
    </row>
    <row r="187" spans="1:14" ht="36">
      <c r="A187" s="187" t="s">
        <v>2393</v>
      </c>
      <c r="B187" s="165" t="s">
        <v>2394</v>
      </c>
      <c r="C187" s="373" t="s">
        <v>180</v>
      </c>
      <c r="D187" s="180" t="s">
        <v>2388</v>
      </c>
      <c r="E187" s="238">
        <v>45503</v>
      </c>
      <c r="F187" s="108">
        <f>3264.36/180</f>
        <v>18.135333333333335</v>
      </c>
      <c r="G187" s="180" t="s">
        <v>2290</v>
      </c>
      <c r="H187" s="238">
        <v>45502</v>
      </c>
      <c r="I187" s="108">
        <v>28.3</v>
      </c>
      <c r="J187" s="180" t="s">
        <v>2291</v>
      </c>
      <c r="K187" s="238">
        <v>45502</v>
      </c>
      <c r="L187" s="108">
        <v>30.5</v>
      </c>
      <c r="M187" s="107">
        <f t="shared" si="8"/>
        <v>28.3</v>
      </c>
      <c r="N187" s="502"/>
    </row>
    <row r="188" spans="1:14" ht="36">
      <c r="A188" s="187" t="s">
        <v>2395</v>
      </c>
      <c r="B188" s="165" t="s">
        <v>2396</v>
      </c>
      <c r="C188" s="373" t="s">
        <v>180</v>
      </c>
      <c r="D188" s="180" t="s">
        <v>2388</v>
      </c>
      <c r="E188" s="238">
        <v>45503</v>
      </c>
      <c r="F188" s="108">
        <f>2263.17/151</f>
        <v>14.987880794701987</v>
      </c>
      <c r="G188" s="180" t="s">
        <v>2290</v>
      </c>
      <c r="H188" s="238">
        <v>45502</v>
      </c>
      <c r="I188" s="108">
        <v>24.04</v>
      </c>
      <c r="J188" s="180" t="s">
        <v>2291</v>
      </c>
      <c r="K188" s="238">
        <v>45502</v>
      </c>
      <c r="L188" s="108">
        <v>25</v>
      </c>
      <c r="M188" s="107">
        <f t="shared" si="8"/>
        <v>24.04</v>
      </c>
      <c r="N188" s="502"/>
    </row>
    <row r="189" spans="1:14" ht="36">
      <c r="A189" s="187" t="s">
        <v>2397</v>
      </c>
      <c r="B189" s="165" t="s">
        <v>2398</v>
      </c>
      <c r="C189" s="373" t="s">
        <v>180</v>
      </c>
      <c r="D189" s="180" t="s">
        <v>2388</v>
      </c>
      <c r="E189" s="238">
        <v>45503</v>
      </c>
      <c r="F189" s="108">
        <f>84.91/7</f>
        <v>12.129999999999999</v>
      </c>
      <c r="G189" s="180" t="s">
        <v>2290</v>
      </c>
      <c r="H189" s="238">
        <v>45502</v>
      </c>
      <c r="I189" s="108">
        <v>20.18</v>
      </c>
      <c r="J189" s="180" t="s">
        <v>2291</v>
      </c>
      <c r="K189" s="238">
        <v>45502</v>
      </c>
      <c r="L189" s="108">
        <v>20</v>
      </c>
      <c r="M189" s="107">
        <f t="shared" si="8"/>
        <v>20</v>
      </c>
      <c r="N189" s="502"/>
    </row>
    <row r="190" spans="1:14" ht="36">
      <c r="A190" s="187" t="s">
        <v>2399</v>
      </c>
      <c r="B190" s="165" t="s">
        <v>2400</v>
      </c>
      <c r="C190" s="373" t="s">
        <v>180</v>
      </c>
      <c r="D190" s="180" t="s">
        <v>2388</v>
      </c>
      <c r="E190" s="238">
        <v>45503</v>
      </c>
      <c r="F190" s="108">
        <f>108.29/10</f>
        <v>10.829000000000001</v>
      </c>
      <c r="G190" s="180" t="s">
        <v>2290</v>
      </c>
      <c r="H190" s="238">
        <v>45502</v>
      </c>
      <c r="I190" s="108">
        <v>15.35</v>
      </c>
      <c r="J190" s="180" t="s">
        <v>2291</v>
      </c>
      <c r="K190" s="238">
        <v>45502</v>
      </c>
      <c r="L190" s="108">
        <v>16</v>
      </c>
      <c r="M190" s="107">
        <f t="shared" si="8"/>
        <v>15.35</v>
      </c>
      <c r="N190" s="502"/>
    </row>
    <row r="191" spans="1:14">
      <c r="A191" s="187" t="s">
        <v>1977</v>
      </c>
      <c r="B191" s="165" t="s">
        <v>1978</v>
      </c>
      <c r="C191" s="373" t="s">
        <v>167</v>
      </c>
      <c r="D191" s="180" t="s">
        <v>2328</v>
      </c>
      <c r="E191" s="238">
        <v>45502</v>
      </c>
      <c r="F191" s="108">
        <v>99.53</v>
      </c>
      <c r="G191" s="180" t="s">
        <v>2401</v>
      </c>
      <c r="H191" s="238">
        <v>45502</v>
      </c>
      <c r="I191" s="108">
        <v>82.47</v>
      </c>
      <c r="J191" s="180" t="s">
        <v>2383</v>
      </c>
      <c r="K191" s="238">
        <v>45502</v>
      </c>
      <c r="L191" s="108">
        <v>124.24</v>
      </c>
      <c r="M191" s="107">
        <f t="shared" si="8"/>
        <v>99.53</v>
      </c>
      <c r="N191" s="502"/>
    </row>
    <row r="192" spans="1:14">
      <c r="A192" s="187" t="s">
        <v>1979</v>
      </c>
      <c r="B192" s="165" t="s">
        <v>1969</v>
      </c>
      <c r="C192" s="373" t="s">
        <v>872</v>
      </c>
      <c r="D192" s="180" t="s">
        <v>2402</v>
      </c>
      <c r="E192" s="238">
        <v>45502</v>
      </c>
      <c r="F192" s="108">
        <v>37.880000000000003</v>
      </c>
      <c r="G192" s="180" t="s">
        <v>2403</v>
      </c>
      <c r="H192" s="238">
        <v>45502</v>
      </c>
      <c r="I192" s="108">
        <v>55.54</v>
      </c>
      <c r="J192" s="180" t="s">
        <v>2383</v>
      </c>
      <c r="K192" s="238">
        <v>45502</v>
      </c>
      <c r="L192" s="108">
        <v>46.24</v>
      </c>
      <c r="M192" s="107">
        <f t="shared" si="8"/>
        <v>46.24</v>
      </c>
      <c r="N192" s="502"/>
    </row>
    <row r="193" spans="1:14" ht="36">
      <c r="A193" s="187" t="s">
        <v>2012</v>
      </c>
      <c r="B193" s="165" t="s">
        <v>2404</v>
      </c>
      <c r="C193" s="373" t="s">
        <v>180</v>
      </c>
      <c r="D193" s="180" t="s">
        <v>2388</v>
      </c>
      <c r="E193" s="238">
        <v>45503</v>
      </c>
      <c r="F193" s="108">
        <f>839.32/14</f>
        <v>59.951428571428572</v>
      </c>
      <c r="G193" s="180" t="s">
        <v>2290</v>
      </c>
      <c r="H193" s="238">
        <v>45502</v>
      </c>
      <c r="I193" s="108">
        <v>70.5</v>
      </c>
      <c r="J193" s="180" t="s">
        <v>2291</v>
      </c>
      <c r="K193" s="238">
        <v>45502</v>
      </c>
      <c r="L193" s="108">
        <v>70</v>
      </c>
      <c r="M193" s="107">
        <f t="shared" ref="M193:M199" si="9">MEDIAN(F193,I193,L193)</f>
        <v>70</v>
      </c>
      <c r="N193" s="502"/>
    </row>
    <row r="194" spans="1:14" ht="24">
      <c r="A194" s="187" t="s">
        <v>2405</v>
      </c>
      <c r="B194" s="165" t="s">
        <v>2406</v>
      </c>
      <c r="C194" s="373" t="s">
        <v>167</v>
      </c>
      <c r="D194" s="180" t="s">
        <v>2313</v>
      </c>
      <c r="E194" s="238">
        <v>45502</v>
      </c>
      <c r="F194" s="108">
        <v>79.72</v>
      </c>
      <c r="G194" s="180" t="s">
        <v>2290</v>
      </c>
      <c r="H194" s="238">
        <v>45502</v>
      </c>
      <c r="I194" s="108">
        <v>69</v>
      </c>
      <c r="J194" s="180" t="s">
        <v>2291</v>
      </c>
      <c r="K194" s="238">
        <v>45502</v>
      </c>
      <c r="L194" s="108">
        <v>70</v>
      </c>
      <c r="M194" s="107">
        <f t="shared" si="9"/>
        <v>70</v>
      </c>
      <c r="N194" s="502"/>
    </row>
    <row r="195" spans="1:14" ht="24">
      <c r="A195" s="187" t="s">
        <v>2407</v>
      </c>
      <c r="B195" s="165" t="s">
        <v>2408</v>
      </c>
      <c r="C195" s="373" t="s">
        <v>167</v>
      </c>
      <c r="D195" s="180" t="s">
        <v>2313</v>
      </c>
      <c r="E195" s="238">
        <v>45502</v>
      </c>
      <c r="F195" s="108">
        <v>54.95</v>
      </c>
      <c r="G195" s="180" t="s">
        <v>2290</v>
      </c>
      <c r="H195" s="238">
        <v>45502</v>
      </c>
      <c r="I195" s="108">
        <v>48.35</v>
      </c>
      <c r="J195" s="180" t="s">
        <v>2291</v>
      </c>
      <c r="K195" s="238">
        <v>45502</v>
      </c>
      <c r="L195" s="108">
        <v>50</v>
      </c>
      <c r="M195" s="107">
        <f t="shared" si="9"/>
        <v>50</v>
      </c>
      <c r="N195" s="502"/>
    </row>
    <row r="196" spans="1:14" ht="24">
      <c r="A196" s="187" t="s">
        <v>2014</v>
      </c>
      <c r="B196" s="165" t="s">
        <v>2015</v>
      </c>
      <c r="C196" s="373" t="s">
        <v>167</v>
      </c>
      <c r="D196" s="180" t="s">
        <v>2313</v>
      </c>
      <c r="E196" s="238">
        <v>45502</v>
      </c>
      <c r="F196" s="108">
        <v>37.880000000000003</v>
      </c>
      <c r="G196" s="180" t="s">
        <v>2290</v>
      </c>
      <c r="H196" s="238">
        <v>45502</v>
      </c>
      <c r="I196" s="108">
        <v>32.5</v>
      </c>
      <c r="J196" s="180" t="s">
        <v>2291</v>
      </c>
      <c r="K196" s="238">
        <v>45502</v>
      </c>
      <c r="L196" s="108">
        <v>355</v>
      </c>
      <c r="M196" s="107">
        <f t="shared" si="9"/>
        <v>37.880000000000003</v>
      </c>
      <c r="N196" s="502"/>
    </row>
    <row r="197" spans="1:14" ht="24">
      <c r="A197" s="187" t="s">
        <v>2409</v>
      </c>
      <c r="B197" s="165" t="s">
        <v>2410</v>
      </c>
      <c r="C197" s="373" t="s">
        <v>167</v>
      </c>
      <c r="D197" s="180" t="s">
        <v>2313</v>
      </c>
      <c r="E197" s="238">
        <v>45502</v>
      </c>
      <c r="F197" s="108">
        <v>31.48</v>
      </c>
      <c r="G197" s="180" t="s">
        <v>2290</v>
      </c>
      <c r="H197" s="238">
        <v>45502</v>
      </c>
      <c r="I197" s="108">
        <v>28.5</v>
      </c>
      <c r="J197" s="180" t="s">
        <v>2291</v>
      </c>
      <c r="K197" s="238">
        <v>45502</v>
      </c>
      <c r="L197" s="108">
        <v>32.5</v>
      </c>
      <c r="M197" s="107">
        <f t="shared" si="9"/>
        <v>31.48</v>
      </c>
      <c r="N197" s="502"/>
    </row>
    <row r="198" spans="1:14" ht="24">
      <c r="A198" s="187" t="s">
        <v>2411</v>
      </c>
      <c r="B198" s="165" t="s">
        <v>2412</v>
      </c>
      <c r="C198" s="373" t="s">
        <v>167</v>
      </c>
      <c r="D198" s="180" t="s">
        <v>2313</v>
      </c>
      <c r="E198" s="238">
        <v>45502</v>
      </c>
      <c r="F198" s="108">
        <v>28.16</v>
      </c>
      <c r="G198" s="180" t="s">
        <v>2290</v>
      </c>
      <c r="H198" s="238">
        <v>45502</v>
      </c>
      <c r="I198" s="108">
        <v>25</v>
      </c>
      <c r="J198" s="180" t="s">
        <v>2291</v>
      </c>
      <c r="K198" s="238">
        <v>45502</v>
      </c>
      <c r="L198" s="108">
        <v>30</v>
      </c>
      <c r="M198" s="107">
        <f t="shared" si="9"/>
        <v>28.16</v>
      </c>
      <c r="N198" s="502"/>
    </row>
    <row r="199" spans="1:14" ht="24">
      <c r="A199" s="187" t="s">
        <v>2413</v>
      </c>
      <c r="B199" s="165" t="s">
        <v>2414</v>
      </c>
      <c r="C199" s="373" t="s">
        <v>167</v>
      </c>
      <c r="D199" s="180" t="s">
        <v>2313</v>
      </c>
      <c r="E199" s="238">
        <v>45502</v>
      </c>
      <c r="F199" s="108">
        <v>26.67</v>
      </c>
      <c r="G199" s="180" t="s">
        <v>2290</v>
      </c>
      <c r="H199" s="238">
        <v>45502</v>
      </c>
      <c r="I199" s="108">
        <v>24</v>
      </c>
      <c r="J199" s="180" t="s">
        <v>2291</v>
      </c>
      <c r="K199" s="238">
        <v>45502</v>
      </c>
      <c r="L199" s="108">
        <v>28</v>
      </c>
      <c r="M199" s="107">
        <f t="shared" si="9"/>
        <v>26.67</v>
      </c>
      <c r="N199" s="502"/>
    </row>
    <row r="200" spans="1:14">
      <c r="A200" s="187"/>
      <c r="D200" s="500"/>
      <c r="E200" s="501"/>
      <c r="G200" s="500"/>
      <c r="H200" s="501"/>
      <c r="J200" s="500"/>
      <c r="K200" s="501"/>
      <c r="N200" s="502"/>
    </row>
    <row r="201" spans="1:14">
      <c r="A201" s="187"/>
      <c r="D201" s="500"/>
      <c r="E201" s="501"/>
      <c r="G201" s="500"/>
      <c r="H201" s="501"/>
      <c r="J201" s="500"/>
      <c r="K201" s="501"/>
      <c r="N201" s="502"/>
    </row>
    <row r="202" spans="1:14" ht="24.75" customHeight="1">
      <c r="A202" s="879" t="s">
        <v>2415</v>
      </c>
      <c r="B202" s="880"/>
      <c r="C202" s="880"/>
      <c r="D202" s="880"/>
      <c r="E202" s="880"/>
      <c r="F202" s="880"/>
      <c r="G202" s="880"/>
      <c r="H202" s="880"/>
      <c r="I202" s="880"/>
      <c r="J202" s="880"/>
      <c r="K202" s="880"/>
      <c r="L202" s="880"/>
      <c r="M202" s="880"/>
      <c r="N202" s="881"/>
    </row>
  </sheetData>
  <mergeCells count="31">
    <mergeCell ref="B10:D10"/>
    <mergeCell ref="A1:N1"/>
    <mergeCell ref="A8:N8"/>
    <mergeCell ref="A6:N6"/>
    <mergeCell ref="A9:N9"/>
    <mergeCell ref="B2:J2"/>
    <mergeCell ref="B3:J3"/>
    <mergeCell ref="B4:J4"/>
    <mergeCell ref="B5:J5"/>
    <mergeCell ref="A7:N7"/>
    <mergeCell ref="H10:N10"/>
    <mergeCell ref="E10:G10"/>
    <mergeCell ref="A202:N202"/>
    <mergeCell ref="A15:A16"/>
    <mergeCell ref="B15:B16"/>
    <mergeCell ref="M15:M16"/>
    <mergeCell ref="G15:I15"/>
    <mergeCell ref="B11:D11"/>
    <mergeCell ref="B12:D12"/>
    <mergeCell ref="B13:D13"/>
    <mergeCell ref="N15:N16"/>
    <mergeCell ref="J15:L15"/>
    <mergeCell ref="D15:F15"/>
    <mergeCell ref="C15:C16"/>
    <mergeCell ref="A14:N14"/>
    <mergeCell ref="H11:N11"/>
    <mergeCell ref="H12:N12"/>
    <mergeCell ref="H13:N13"/>
    <mergeCell ref="E11:G11"/>
    <mergeCell ref="E12:G12"/>
    <mergeCell ref="E13:G13"/>
  </mergeCells>
  <phoneticPr fontId="19" type="noConversion"/>
  <conditionalFormatting sqref="D17:D201">
    <cfRule type="cellIs" dxfId="0" priority="23" stopIfTrue="1" operator="equal">
      <formula>#REF!</formula>
    </cfRule>
  </conditionalFormatting>
  <printOptions horizontalCentered="1"/>
  <pageMargins left="0.47244094488188981" right="0.47244094488188981" top="0.78740157480314965" bottom="0.78740157480314965" header="0.31496062992125984" footer="0.31496062992125984"/>
  <pageSetup paperSize="9" scale="46" fitToHeight="0" orientation="landscape" r:id="rId1"/>
  <headerFooter>
    <oddFoote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22</vt:i4>
      </vt:variant>
    </vt:vector>
  </HeadingPairs>
  <TitlesOfParts>
    <vt:vector size="34" baseType="lpstr">
      <vt:lpstr>Planilha Resumo</vt:lpstr>
      <vt:lpstr>Planilha Orçamentária</vt:lpstr>
      <vt:lpstr>Curva ABC</vt:lpstr>
      <vt:lpstr>Cronograma</vt:lpstr>
      <vt:lpstr>MC_Geral</vt:lpstr>
      <vt:lpstr>MC_CAG-Anexo </vt:lpstr>
      <vt:lpstr>MC_3.Pav (ALA B)</vt:lpstr>
      <vt:lpstr>Composições - CCU</vt:lpstr>
      <vt:lpstr>Mapa Cotações</vt:lpstr>
      <vt:lpstr>BDI Padrão</vt:lpstr>
      <vt:lpstr>BDI Diferenciado</vt:lpstr>
      <vt:lpstr>Encargos Sociais</vt:lpstr>
      <vt:lpstr>'BDI Diferenciado'!Area_de_impressao</vt:lpstr>
      <vt:lpstr>'BDI Padrão'!Area_de_impressao</vt:lpstr>
      <vt:lpstr>'Composições - CCU'!Area_de_impressao</vt:lpstr>
      <vt:lpstr>Cronograma!Area_de_impressao</vt:lpstr>
      <vt:lpstr>'Curva ABC'!Area_de_impressao</vt:lpstr>
      <vt:lpstr>'Encargos Sociais'!Area_de_impressao</vt:lpstr>
      <vt:lpstr>'Mapa Cotações'!Area_de_impressao</vt:lpstr>
      <vt:lpstr>'MC_3.Pav (ALA B)'!Area_de_impressao</vt:lpstr>
      <vt:lpstr>'MC_CAG-Anexo '!Area_de_impressao</vt:lpstr>
      <vt:lpstr>MC_Geral!Area_de_impressao</vt:lpstr>
      <vt:lpstr>'Planilha Orçamentária'!Area_de_impressao</vt:lpstr>
      <vt:lpstr>'Planilha Resumo'!Area_de_impressao</vt:lpstr>
      <vt:lpstr>'Composições - CCU'!Titulos_de_impressao</vt:lpstr>
      <vt:lpstr>Cronograma!Titulos_de_impressao</vt:lpstr>
      <vt:lpstr>'Curva ABC'!Titulos_de_impressao</vt:lpstr>
      <vt:lpstr>'Encargos Sociais'!Titulos_de_impressao</vt:lpstr>
      <vt:lpstr>'Mapa Cotações'!Titulos_de_impressao</vt:lpstr>
      <vt:lpstr>'MC_3.Pav (ALA B)'!Titulos_de_impressao</vt:lpstr>
      <vt:lpstr>'MC_CAG-Anexo '!Titulos_de_impressao</vt:lpstr>
      <vt:lpstr>MC_Geral!Titulos_de_impressao</vt:lpstr>
      <vt:lpstr>'Planilha Orçamentária'!Titulos_de_impressao</vt:lpstr>
      <vt:lpstr>'Planilha Resumo'!Titulos_de_impressao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2020-09-24T03:20:06Z</dcterms:created>
  <dcterms:modified xsi:type="dcterms:W3CDTF">2024-10-04T20:22:41Z</dcterms:modified>
  <cp:category/>
  <cp:contentStatus/>
</cp:coreProperties>
</file>